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V:\GELIC\COLIC\2022\2. Licitação - Modalidades\Pregão\Em andamento\PREGÃO 6.2022 - FACILITIES - MANUTENÇÃO PREDIAL\EDITAL E ANEXOS\"/>
    </mc:Choice>
  </mc:AlternateContent>
  <xr:revisionPtr revIDLastSave="0" documentId="13_ncr:1_{41E55A82-B0C4-4AF4-B9EC-0C93CECBA8A2}" xr6:coauthVersionLast="45" xr6:coauthVersionMax="47" xr10:uidLastSave="{00000000-0000-0000-0000-000000000000}"/>
  <bookViews>
    <workbookView xWindow="-120" yWindow="-120" windowWidth="29040" windowHeight="15840" tabRatio="894" activeTab="1" xr2:uid="{00000000-000D-0000-FFFF-FFFF00000000}"/>
  </bookViews>
  <sheets>
    <sheet name="Planilha Simplificada" sheetId="14" r:id="rId1"/>
    <sheet name="PLANILHA DETALHADA LICITAÇÃO" sheetId="18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8" l="1"/>
  <c r="G12" i="18"/>
  <c r="H12" i="18" s="1"/>
  <c r="J12" i="18" s="1"/>
  <c r="K12" i="18" s="1"/>
  <c r="G11" i="18"/>
  <c r="G10" i="18"/>
  <c r="G9" i="18"/>
  <c r="G8" i="18"/>
  <c r="G7" i="18"/>
  <c r="G6" i="18"/>
  <c r="G5" i="18"/>
  <c r="H5" i="18" s="1"/>
  <c r="J5" i="18" s="1"/>
  <c r="K5" i="18" s="1"/>
  <c r="G4" i="18"/>
  <c r="H4" i="18" s="1"/>
  <c r="J4" i="18" s="1"/>
  <c r="K4" i="18" s="1"/>
  <c r="G3" i="18"/>
  <c r="H3" i="18" s="1"/>
  <c r="H10" i="18"/>
  <c r="J10" i="18" s="1"/>
  <c r="K10" i="18" s="1"/>
  <c r="H51" i="14"/>
  <c r="G51" i="14"/>
  <c r="H49" i="14"/>
  <c r="H48" i="14"/>
  <c r="H47" i="14"/>
  <c r="H46" i="14"/>
  <c r="H45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G46" i="14"/>
  <c r="J3" i="18" l="1"/>
  <c r="K3" i="18" s="1"/>
  <c r="H6" i="18"/>
  <c r="H11" i="18"/>
  <c r="J11" i="18" s="1"/>
  <c r="K11" i="18" s="1"/>
  <c r="H8" i="18"/>
  <c r="J8" i="18" s="1"/>
  <c r="K8" i="18" s="1"/>
  <c r="H9" i="18"/>
  <c r="J9" i="18" s="1"/>
  <c r="K9" i="18" s="1"/>
  <c r="H7" i="18"/>
  <c r="H13" i="18"/>
  <c r="H52" i="18"/>
  <c r="H47" i="18"/>
  <c r="J47" i="18" s="1"/>
  <c r="I46" i="14" s="1"/>
  <c r="G50" i="18"/>
  <c r="G49" i="14" s="1"/>
  <c r="G49" i="18"/>
  <c r="G48" i="14" s="1"/>
  <c r="G48" i="18"/>
  <c r="G47" i="14" s="1"/>
  <c r="G46" i="18"/>
  <c r="G45" i="14" s="1"/>
  <c r="G45" i="18"/>
  <c r="G44" i="14" s="1"/>
  <c r="G44" i="18"/>
  <c r="G43" i="14" s="1"/>
  <c r="G43" i="18"/>
  <c r="G42" i="14" s="1"/>
  <c r="G42" i="18"/>
  <c r="G41" i="14" s="1"/>
  <c r="G41" i="18"/>
  <c r="G40" i="14" s="1"/>
  <c r="G40" i="18"/>
  <c r="G39" i="14" s="1"/>
  <c r="G39" i="18"/>
  <c r="G38" i="14" s="1"/>
  <c r="G38" i="18"/>
  <c r="G37" i="14" s="1"/>
  <c r="G37" i="18"/>
  <c r="G36" i="14" s="1"/>
  <c r="G36" i="18"/>
  <c r="G35" i="14" s="1"/>
  <c r="G35" i="18"/>
  <c r="G34" i="14" s="1"/>
  <c r="G34" i="18"/>
  <c r="G33" i="14" s="1"/>
  <c r="G33" i="18"/>
  <c r="G32" i="14" s="1"/>
  <c r="G32" i="18"/>
  <c r="G31" i="14" s="1"/>
  <c r="G31" i="18"/>
  <c r="G30" i="14" s="1"/>
  <c r="G30" i="18"/>
  <c r="G29" i="14" s="1"/>
  <c r="G29" i="18"/>
  <c r="G28" i="14" s="1"/>
  <c r="G28" i="18"/>
  <c r="G27" i="14" s="1"/>
  <c r="G27" i="18"/>
  <c r="G26" i="14" s="1"/>
  <c r="G26" i="18"/>
  <c r="G25" i="14" s="1"/>
  <c r="G25" i="18"/>
  <c r="G24" i="14" s="1"/>
  <c r="G24" i="18"/>
  <c r="G23" i="14" s="1"/>
  <c r="G23" i="18"/>
  <c r="G22" i="14" s="1"/>
  <c r="G22" i="18"/>
  <c r="G21" i="14" s="1"/>
  <c r="G21" i="18"/>
  <c r="G20" i="14" s="1"/>
  <c r="G20" i="18"/>
  <c r="G19" i="14" s="1"/>
  <c r="G19" i="18"/>
  <c r="G18" i="14" s="1"/>
  <c r="G18" i="18"/>
  <c r="G17" i="14" s="1"/>
  <c r="G17" i="18"/>
  <c r="G16" i="14" s="1"/>
  <c r="G16" i="18"/>
  <c r="G15" i="14" s="1"/>
  <c r="H48" i="18" l="1"/>
  <c r="J52" i="18"/>
  <c r="I51" i="14" s="1"/>
  <c r="J51" i="14" s="1"/>
  <c r="J52" i="14" s="1"/>
  <c r="J13" i="18"/>
  <c r="K13" i="18" s="1"/>
  <c r="J6" i="18"/>
  <c r="K6" i="18" s="1"/>
  <c r="H50" i="18"/>
  <c r="J7" i="18"/>
  <c r="K7" i="18" s="1"/>
  <c r="H26" i="18"/>
  <c r="H38" i="18"/>
  <c r="H19" i="18"/>
  <c r="H23" i="18"/>
  <c r="H27" i="18"/>
  <c r="H31" i="18"/>
  <c r="H35" i="18"/>
  <c r="H39" i="18"/>
  <c r="H43" i="18"/>
  <c r="J48" i="18"/>
  <c r="H18" i="18"/>
  <c r="H30" i="18"/>
  <c r="H42" i="18"/>
  <c r="H16" i="18"/>
  <c r="H20" i="18"/>
  <c r="H24" i="18"/>
  <c r="H28" i="18"/>
  <c r="H32" i="18"/>
  <c r="H36" i="18"/>
  <c r="H40" i="18"/>
  <c r="H44" i="18"/>
  <c r="H22" i="18"/>
  <c r="H34" i="18"/>
  <c r="H46" i="18"/>
  <c r="H17" i="18"/>
  <c r="H21" i="18"/>
  <c r="H25" i="18"/>
  <c r="H29" i="18"/>
  <c r="H33" i="18"/>
  <c r="H37" i="18"/>
  <c r="H41" i="18"/>
  <c r="H45" i="18"/>
  <c r="H49" i="18"/>
  <c r="J18" i="18"/>
  <c r="J26" i="18"/>
  <c r="J49" i="18" l="1"/>
  <c r="K49" i="18" s="1"/>
  <c r="J36" i="18"/>
  <c r="J50" i="18"/>
  <c r="J33" i="18"/>
  <c r="I32" i="14" s="1"/>
  <c r="J32" i="14" s="1"/>
  <c r="J46" i="18"/>
  <c r="I45" i="14" s="1"/>
  <c r="J45" i="14" s="1"/>
  <c r="J29" i="18"/>
  <c r="I28" i="14" s="1"/>
  <c r="J28" i="14" s="1"/>
  <c r="J45" i="18"/>
  <c r="K45" i="18" s="1"/>
  <c r="J25" i="18"/>
  <c r="K25" i="18" s="1"/>
  <c r="J20" i="18"/>
  <c r="J34" i="18"/>
  <c r="I33" i="14" s="1"/>
  <c r="J33" i="14" s="1"/>
  <c r="J30" i="18"/>
  <c r="J41" i="18"/>
  <c r="J17" i="18"/>
  <c r="I16" i="14" s="1"/>
  <c r="I49" i="14"/>
  <c r="J49" i="14" s="1"/>
  <c r="K50" i="18"/>
  <c r="I17" i="14"/>
  <c r="I48" i="14"/>
  <c r="J48" i="14" s="1"/>
  <c r="K33" i="18"/>
  <c r="I35" i="14"/>
  <c r="J35" i="14" s="1"/>
  <c r="K36" i="18"/>
  <c r="I19" i="14"/>
  <c r="J35" i="18"/>
  <c r="J19" i="18"/>
  <c r="K46" i="18"/>
  <c r="I29" i="14"/>
  <c r="J29" i="14" s="1"/>
  <c r="K30" i="18"/>
  <c r="I44" i="14"/>
  <c r="J44" i="14" s="1"/>
  <c r="I47" i="14"/>
  <c r="J47" i="14" s="1"/>
  <c r="K48" i="18"/>
  <c r="J32" i="18"/>
  <c r="J16" i="18"/>
  <c r="J31" i="18"/>
  <c r="J42" i="18"/>
  <c r="I25" i="14"/>
  <c r="I40" i="14"/>
  <c r="J40" i="14" s="1"/>
  <c r="K41" i="18"/>
  <c r="J44" i="18"/>
  <c r="J28" i="18"/>
  <c r="J43" i="18"/>
  <c r="J27" i="18"/>
  <c r="J38" i="18"/>
  <c r="J22" i="18"/>
  <c r="J37" i="18"/>
  <c r="J21" i="18"/>
  <c r="J40" i="18"/>
  <c r="J24" i="18"/>
  <c r="J39" i="18"/>
  <c r="J23" i="18"/>
  <c r="I24" i="14" l="1"/>
  <c r="J24" i="14" s="1"/>
  <c r="K29" i="18"/>
  <c r="K34" i="18"/>
  <c r="I39" i="14"/>
  <c r="J39" i="14" s="1"/>
  <c r="K40" i="18"/>
  <c r="I37" i="14"/>
  <c r="J37" i="14" s="1"/>
  <c r="K38" i="18"/>
  <c r="I15" i="14"/>
  <c r="I18" i="14"/>
  <c r="I38" i="14"/>
  <c r="J38" i="14" s="1"/>
  <c r="K39" i="18"/>
  <c r="I20" i="14"/>
  <c r="I26" i="14"/>
  <c r="I27" i="14"/>
  <c r="J27" i="14" s="1"/>
  <c r="K28" i="18"/>
  <c r="I41" i="14"/>
  <c r="J41" i="14" s="1"/>
  <c r="K42" i="18"/>
  <c r="I31" i="14"/>
  <c r="J31" i="14" s="1"/>
  <c r="K32" i="18"/>
  <c r="I36" i="14"/>
  <c r="J36" i="14" s="1"/>
  <c r="K37" i="18"/>
  <c r="I43" i="14"/>
  <c r="J43" i="14" s="1"/>
  <c r="K44" i="18"/>
  <c r="I30" i="14"/>
  <c r="J30" i="14" s="1"/>
  <c r="K31" i="18"/>
  <c r="I34" i="14"/>
  <c r="J34" i="14" s="1"/>
  <c r="K35" i="18"/>
  <c r="I22" i="14"/>
  <c r="I23" i="14"/>
  <c r="I21" i="14"/>
  <c r="I42" i="14"/>
  <c r="J42" i="14" s="1"/>
  <c r="K43" i="18"/>
  <c r="F46" i="14" l="1"/>
  <c r="J46" i="14" s="1"/>
  <c r="F26" i="14"/>
  <c r="J26" i="14" s="1"/>
  <c r="F25" i="14"/>
  <c r="J25" i="14" s="1"/>
  <c r="F23" i="14"/>
  <c r="J23" i="14" s="1"/>
  <c r="F22" i="14"/>
  <c r="J22" i="14" s="1"/>
  <c r="F21" i="14"/>
  <c r="J21" i="14" s="1"/>
  <c r="F20" i="14"/>
  <c r="J20" i="14" s="1"/>
  <c r="F19" i="14"/>
  <c r="J19" i="14" s="1"/>
  <c r="F18" i="14"/>
  <c r="J18" i="14" s="1"/>
  <c r="F17" i="14"/>
  <c r="J17" i="14" s="1"/>
  <c r="F16" i="14"/>
  <c r="J16" i="14" s="1"/>
  <c r="F15" i="14"/>
  <c r="J15" i="14" s="1"/>
  <c r="F47" i="18"/>
  <c r="K47" i="18" s="1"/>
  <c r="F27" i="18"/>
  <c r="K27" i="18" s="1"/>
  <c r="F26" i="18"/>
  <c r="K26" i="18" s="1"/>
  <c r="F24" i="18"/>
  <c r="K24" i="18" s="1"/>
  <c r="F23" i="18"/>
  <c r="K23" i="18" s="1"/>
  <c r="F22" i="18"/>
  <c r="K22" i="18" s="1"/>
  <c r="F21" i="18"/>
  <c r="K21" i="18" s="1"/>
  <c r="F20" i="18"/>
  <c r="K20" i="18" s="1"/>
  <c r="F19" i="18"/>
  <c r="K19" i="18" s="1"/>
  <c r="F18" i="18"/>
  <c r="K18" i="18" s="1"/>
  <c r="F17" i="18"/>
  <c r="K17" i="18" s="1"/>
  <c r="F16" i="18"/>
  <c r="K16" i="18" s="1"/>
  <c r="J50" i="14" l="1"/>
  <c r="K52" i="18" l="1"/>
  <c r="K53" i="18" s="1"/>
  <c r="K14" i="18" l="1"/>
  <c r="K51" i="18"/>
  <c r="K15" i="18" l="1"/>
  <c r="K54" i="18" s="1"/>
  <c r="I3" i="14"/>
  <c r="G3" i="14" l="1"/>
  <c r="J3" i="14"/>
  <c r="J14" i="14" s="1"/>
  <c r="J53" i="14" s="1"/>
</calcChain>
</file>

<file path=xl/sharedStrings.xml><?xml version="1.0" encoding="utf-8"?>
<sst xmlns="http://schemas.openxmlformats.org/spreadsheetml/2006/main" count="242" uniqueCount="87">
  <si>
    <t>Descrição</t>
  </si>
  <si>
    <t>Item</t>
  </si>
  <si>
    <t>Unidade</t>
  </si>
  <si>
    <t>Quantidade</t>
  </si>
  <si>
    <t>Desmontagem de divisória cega</t>
  </si>
  <si>
    <t>Desmontagem de divisória vidro Piso ao Teto</t>
  </si>
  <si>
    <t>Desmontagem de divisória vidro meia altura ao Teto</t>
  </si>
  <si>
    <t>Montagem de divisória cega</t>
  </si>
  <si>
    <t>Montagem de divisória vidro Piso ao Teto</t>
  </si>
  <si>
    <t>Montagem de divisória vidro meia altura ao Teto</t>
  </si>
  <si>
    <t>Desmontagem de divisória vidro Piso ao Teto com persiana</t>
  </si>
  <si>
    <t>Desmontagem de divisória vidro meia altura ao Teto com persiana</t>
  </si>
  <si>
    <t>Montagem de divisória vidro Piso ao Teto com persiana</t>
  </si>
  <si>
    <t>Montagem de divisória vidro meia altura ao Teto com persiana</t>
  </si>
  <si>
    <t>Recarga de extintor de Pó Químico ABC, modelo R917, tipo portátil, capacidade de carga de 6 Kg</t>
  </si>
  <si>
    <t>Teste Hidrostático em extintor de Pó Químico ABC, modelo R917, tipo portátil, capacidade de carga de 6 Kg</t>
  </si>
  <si>
    <t>Confecção de chave simples pelo miolo da fechadura</t>
  </si>
  <si>
    <t>Confecção de cópia de chave simples</t>
  </si>
  <si>
    <t>Fornecimento e instalação de parede de drywall (gesso acartonado) simples, sem vãos</t>
  </si>
  <si>
    <t>Fornecimento e instalação de parede de drywall (gesso acartonado) simples, com vãos</t>
  </si>
  <si>
    <t>Remoção de chapas e perfis de drywall, de forma manual, sem reaproveitamento</t>
  </si>
  <si>
    <t>Aplicação manual de pintura com tinta látex acrílica em paredes, duas demãos</t>
  </si>
  <si>
    <t>Aplicação manual de pintura com tinta látex acrílica em teto, duas demãos</t>
  </si>
  <si>
    <t>Aplicação manual de pintura com tinta látex PVA em paredes, duas demãos</t>
  </si>
  <si>
    <t>Aplicação manual de pintura com tinta látex PVA em teto, duas demãos</t>
  </si>
  <si>
    <t>Aplicação e lixamento de massa látex em teto, uma demão</t>
  </si>
  <si>
    <t>Aplicação e lixamento de massa látex em teto, duas demãos</t>
  </si>
  <si>
    <t>Aplicação e lixamento de massa látex em paredes, uma demão</t>
  </si>
  <si>
    <t>m²</t>
  </si>
  <si>
    <t>Banheiros</t>
  </si>
  <si>
    <t>Copas</t>
  </si>
  <si>
    <t>Hidráulico/Sanitárias</t>
  </si>
  <si>
    <t>Grupo Gerador</t>
  </si>
  <si>
    <t>Reparos Civis</t>
  </si>
  <si>
    <t>Unid.</t>
  </si>
  <si>
    <t>Chaveiro</t>
  </si>
  <si>
    <t>Instalações Elétricas</t>
  </si>
  <si>
    <t>Quadro de Distribuição</t>
  </si>
  <si>
    <t>Quadro de Transferência Automático - QTA</t>
  </si>
  <si>
    <t>Diversos</t>
  </si>
  <si>
    <t>Sistema áudio e vídeo</t>
  </si>
  <si>
    <t>Quadro de Comando - Automação Sistema de bombas da Torre de Refrigeração</t>
  </si>
  <si>
    <t>Custo Unitário</t>
  </si>
  <si>
    <t>Subitem</t>
  </si>
  <si>
    <t>Controle de Pragas</t>
  </si>
  <si>
    <t>Portas/Janelas/Forros/Persianas/Divisórias/Carpete/Cerâmicas/Pisos/Mobiliários/Estações de Trabalho/Detecção incêndio</t>
  </si>
  <si>
    <t>Tomadas/Interruptores/Luminárias</t>
  </si>
  <si>
    <t>Montagem portas</t>
  </si>
  <si>
    <t>Desmontagem portas</t>
  </si>
  <si>
    <t>Locação de caçamba para entulho 4m3 , incluso transporte e descarga (7 dias úteis)</t>
  </si>
  <si>
    <t>BDI (%)</t>
  </si>
  <si>
    <t>Custo Total Unitário (com BDI)</t>
  </si>
  <si>
    <t>Total</t>
  </si>
  <si>
    <t>Troca de segredo de fechadura c/ fornecimento de 02 cópias de chave simples</t>
  </si>
  <si>
    <t>Movimentação de carga</t>
  </si>
  <si>
    <t>Transporte de carga</t>
  </si>
  <si>
    <t>Diária</t>
  </si>
  <si>
    <t>Operação do sistema de áudio-video</t>
  </si>
  <si>
    <t>Abertura de porta/gaveta/armário/cadeado</t>
  </si>
  <si>
    <t>Retirada de chave quebrada em fechaduras</t>
  </si>
  <si>
    <t>Conserto de miolo de fechadura</t>
  </si>
  <si>
    <t>Desinsetização</t>
  </si>
  <si>
    <t>Serviço de Manutenção e Recarga de Extintores de incêndio</t>
  </si>
  <si>
    <t>Operação de Sistema áudio e vídeo</t>
  </si>
  <si>
    <t>Remanejamento de Divisórias</t>
  </si>
  <si>
    <t>Serviços de Programação e Configuração dos Softwares</t>
  </si>
  <si>
    <t>Manutenção Preventiva dos Equipamentos</t>
  </si>
  <si>
    <t>Manutençao Grupo Gerador (Simples)</t>
  </si>
  <si>
    <t>Mês</t>
  </si>
  <si>
    <t>Manutenção corretiva em equipamento tipo Eletro-eletrônico/Motobomba/Sistema Áudio e Vídeo/Grupo Gerador/Mobiliário/Mudança de Layout/adaptações/adequações/desmobilização/reparos/etc</t>
  </si>
  <si>
    <t>Quaro de Distribuição Geral</t>
  </si>
  <si>
    <t>Manutenção predial/civis</t>
  </si>
  <si>
    <t>Manutenção eventualk do Grupo Gerador (Avançada)</t>
  </si>
  <si>
    <t>Grupo Gerador (Avançada)</t>
  </si>
  <si>
    <t>SUB TOTAL 1</t>
  </si>
  <si>
    <t>SUB TOTAL 3</t>
  </si>
  <si>
    <t>1. Manutenção por desempenho</t>
  </si>
  <si>
    <t>mês</t>
  </si>
  <si>
    <t xml:space="preserve">SUB TOTAL 2 </t>
  </si>
  <si>
    <t>ESTIMATIVA DE QUANTIDADES</t>
  </si>
  <si>
    <t>BDI ( R$)</t>
  </si>
  <si>
    <t>SUB TOTAL MENSAL</t>
  </si>
  <si>
    <t>Manutenção eventual do Grupo Gerador (Avançada)</t>
  </si>
  <si>
    <t>TOTAL (1 + 2 + 3 ) - PERÍODO DE 12 MESES</t>
  </si>
  <si>
    <t>SUB TOTAL 1 - 12 MESES</t>
  </si>
  <si>
    <t>2. Serviços Eventuais Primários</t>
  </si>
  <si>
    <t>3. Serviços Eventuais Secundários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</si>
</sst>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44" fontId="1" fillId="4" borderId="1" xfId="1" applyFont="1" applyFill="1" applyBorder="1" applyAlignment="1">
      <alignment horizontal="center"/>
    </xf>
    <xf numFmtId="10" fontId="1" fillId="4" borderId="1" xfId="2" applyNumberFormat="1" applyFont="1" applyFill="1" applyBorder="1" applyAlignment="1">
      <alignment horizontal="center"/>
    </xf>
    <xf numFmtId="44" fontId="0" fillId="0" borderId="0" xfId="0" applyNumberForma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44" fontId="1" fillId="3" borderId="1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44" fontId="1" fillId="3" borderId="1" xfId="1" applyFont="1" applyFill="1" applyBorder="1" applyAlignment="1">
      <alignment horizontal="center" vertical="center"/>
    </xf>
    <xf numFmtId="10" fontId="1" fillId="3" borderId="1" xfId="2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44" fontId="1" fillId="5" borderId="1" xfId="1" applyFont="1" applyFill="1" applyBorder="1" applyAlignment="1">
      <alignment horizontal="center" vertical="center"/>
    </xf>
    <xf numFmtId="10" fontId="1" fillId="5" borderId="1" xfId="2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44" fontId="3" fillId="2" borderId="2" xfId="0" applyNumberFormat="1" applyFont="1" applyFill="1" applyBorder="1" applyAlignment="1">
      <alignment horizontal="center"/>
    </xf>
    <xf numFmtId="44" fontId="1" fillId="4" borderId="2" xfId="1" applyFont="1" applyFill="1" applyBorder="1" applyAlignment="1">
      <alignment horizontal="center"/>
    </xf>
    <xf numFmtId="44" fontId="3" fillId="2" borderId="2" xfId="1" applyFont="1" applyFill="1" applyBorder="1" applyAlignment="1">
      <alignment horizontal="center"/>
    </xf>
    <xf numFmtId="0" fontId="1" fillId="5" borderId="4" xfId="0" applyFont="1" applyFill="1" applyBorder="1" applyAlignment="1">
      <alignment horizontal="left" vertical="center" wrapText="1"/>
    </xf>
    <xf numFmtId="44" fontId="1" fillId="5" borderId="2" xfId="1" applyFont="1" applyFill="1" applyBorder="1" applyAlignment="1">
      <alignment horizontal="center" vertical="center"/>
    </xf>
    <xf numFmtId="44" fontId="3" fillId="0" borderId="9" xfId="0" applyNumberFormat="1" applyFont="1" applyBorder="1" applyAlignment="1">
      <alignment horizontal="center" vertical="center"/>
    </xf>
    <xf numFmtId="44" fontId="1" fillId="3" borderId="2" xfId="0" applyNumberFormat="1" applyFont="1" applyFill="1" applyBorder="1" applyAlignment="1">
      <alignment vertical="center"/>
    </xf>
    <xf numFmtId="44" fontId="1" fillId="3" borderId="2" xfId="0" applyNumberFormat="1" applyFont="1" applyFill="1" applyBorder="1" applyAlignment="1">
      <alignment horizontal="center"/>
    </xf>
    <xf numFmtId="44" fontId="3" fillId="6" borderId="2" xfId="0" applyNumberFormat="1" applyFont="1" applyFill="1" applyBorder="1" applyAlignment="1">
      <alignment horizontal="center"/>
    </xf>
    <xf numFmtId="44" fontId="1" fillId="4" borderId="2" xfId="0" applyNumberFormat="1" applyFont="1" applyFill="1" applyBorder="1" applyAlignment="1">
      <alignment horizontal="center"/>
    </xf>
    <xf numFmtId="44" fontId="1" fillId="3" borderId="1" xfId="1" applyFont="1" applyFill="1" applyBorder="1" applyAlignment="1">
      <alignment horizontal="center" vertical="center"/>
    </xf>
    <xf numFmtId="4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4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 wrapText="1"/>
    </xf>
    <xf numFmtId="44" fontId="1" fillId="3" borderId="1" xfId="1" applyFont="1" applyFill="1" applyBorder="1" applyAlignment="1">
      <alignment horizontal="center" vertical="center"/>
    </xf>
    <xf numFmtId="10" fontId="1" fillId="3" borderId="1" xfId="2" applyNumberFormat="1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</cellXfs>
  <cellStyles count="5">
    <cellStyle name="Moeda" xfId="1" builtinId="4"/>
    <cellStyle name="Normal" xfId="0" builtinId="0"/>
    <cellStyle name="Normal 2" xfId="3" xr:uid="{B3636936-5EC9-4127-977A-6DED052D2655}"/>
    <cellStyle name="Porcentagem" xfId="2" builtinId="5"/>
    <cellStyle name="Vírgula 2" xfId="4" xr:uid="{59483F11-D152-4DF6-8A0A-02E182F5677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55"/>
  <sheetViews>
    <sheetView zoomScale="80" zoomScaleNormal="80" workbookViewId="0">
      <selection activeCell="D32" sqref="D32"/>
    </sheetView>
  </sheetViews>
  <sheetFormatPr defaultRowHeight="15" x14ac:dyDescent="0.25"/>
  <cols>
    <col min="1" max="1" width="2.7109375" customWidth="1"/>
    <col min="2" max="2" width="32" bestFit="1" customWidth="1"/>
    <col min="3" max="3" width="59.7109375" customWidth="1"/>
    <col min="4" max="4" width="122.140625" style="1" bestFit="1" customWidth="1"/>
    <col min="5" max="5" width="9.28515625" style="1" bestFit="1" customWidth="1"/>
    <col min="6" max="6" width="12.28515625" style="1" bestFit="1" customWidth="1"/>
    <col min="7" max="7" width="15.7109375" style="1" bestFit="1" customWidth="1"/>
    <col min="8" max="8" width="9.85546875" style="1" bestFit="1" customWidth="1"/>
    <col min="9" max="9" width="32.28515625" style="2" bestFit="1" customWidth="1"/>
    <col min="10" max="10" width="17.28515625" style="1" bestFit="1" customWidth="1"/>
  </cols>
  <sheetData>
    <row r="1" spans="2:10" ht="15.75" x14ac:dyDescent="0.25">
      <c r="B1" s="35" t="s">
        <v>79</v>
      </c>
      <c r="C1" s="36"/>
      <c r="D1" s="36"/>
      <c r="E1" s="36"/>
      <c r="F1" s="36"/>
      <c r="G1" s="36"/>
      <c r="H1" s="36"/>
      <c r="I1" s="36"/>
      <c r="J1" s="37"/>
    </row>
    <row r="2" spans="2:10" ht="18" customHeight="1" x14ac:dyDescent="0.25">
      <c r="B2" s="20" t="s">
        <v>1</v>
      </c>
      <c r="C2" s="15" t="s">
        <v>43</v>
      </c>
      <c r="D2" s="15" t="s">
        <v>0</v>
      </c>
      <c r="E2" s="15" t="s">
        <v>2</v>
      </c>
      <c r="F2" s="15" t="s">
        <v>3</v>
      </c>
      <c r="G2" s="15" t="s">
        <v>42</v>
      </c>
      <c r="H2" s="15" t="s">
        <v>50</v>
      </c>
      <c r="I2" s="15" t="s">
        <v>51</v>
      </c>
      <c r="J2" s="21" t="s">
        <v>52</v>
      </c>
    </row>
    <row r="3" spans="2:10" ht="18" customHeight="1" x14ac:dyDescent="0.25">
      <c r="B3" s="45" t="s">
        <v>76</v>
      </c>
      <c r="C3" s="34" t="s">
        <v>31</v>
      </c>
      <c r="D3" s="8" t="s">
        <v>29</v>
      </c>
      <c r="E3" s="34" t="s">
        <v>77</v>
      </c>
      <c r="F3" s="34">
        <v>12</v>
      </c>
      <c r="G3" s="47">
        <f>I3/1.32</f>
        <v>18284.48</v>
      </c>
      <c r="H3" s="48">
        <v>0.32</v>
      </c>
      <c r="I3" s="33">
        <f>'PLANILHA DETALHADA LICITAÇÃO'!K14</f>
        <v>24135.513600000002</v>
      </c>
      <c r="J3" s="38">
        <f>I3*F3</f>
        <v>289626.16320000001</v>
      </c>
    </row>
    <row r="4" spans="2:10" ht="18" customHeight="1" x14ac:dyDescent="0.25">
      <c r="B4" s="45"/>
      <c r="C4" s="34"/>
      <c r="D4" s="8" t="s">
        <v>30</v>
      </c>
      <c r="E4" s="34"/>
      <c r="F4" s="34"/>
      <c r="G4" s="47"/>
      <c r="H4" s="48"/>
      <c r="I4" s="34"/>
      <c r="J4" s="39"/>
    </row>
    <row r="5" spans="2:10" ht="18" customHeight="1" x14ac:dyDescent="0.25">
      <c r="B5" s="45"/>
      <c r="C5" s="34" t="s">
        <v>36</v>
      </c>
      <c r="D5" s="8" t="s">
        <v>37</v>
      </c>
      <c r="E5" s="34"/>
      <c r="F5" s="34"/>
      <c r="G5" s="47"/>
      <c r="H5" s="48"/>
      <c r="I5" s="34"/>
      <c r="J5" s="39"/>
    </row>
    <row r="6" spans="2:10" ht="18" customHeight="1" x14ac:dyDescent="0.25">
      <c r="B6" s="45"/>
      <c r="C6" s="34"/>
      <c r="D6" s="8" t="s">
        <v>38</v>
      </c>
      <c r="E6" s="34"/>
      <c r="F6" s="34"/>
      <c r="G6" s="47"/>
      <c r="H6" s="48"/>
      <c r="I6" s="34"/>
      <c r="J6" s="39"/>
    </row>
    <row r="7" spans="2:10" ht="18" customHeight="1" x14ac:dyDescent="0.25">
      <c r="B7" s="45"/>
      <c r="C7" s="34"/>
      <c r="D7" s="8" t="s">
        <v>70</v>
      </c>
      <c r="E7" s="34"/>
      <c r="F7" s="34"/>
      <c r="G7" s="47"/>
      <c r="H7" s="48"/>
      <c r="I7" s="34"/>
      <c r="J7" s="39"/>
    </row>
    <row r="8" spans="2:10" ht="18" customHeight="1" x14ac:dyDescent="0.25">
      <c r="B8" s="45"/>
      <c r="C8" s="34"/>
      <c r="D8" s="8" t="s">
        <v>41</v>
      </c>
      <c r="E8" s="34"/>
      <c r="F8" s="34"/>
      <c r="G8" s="47"/>
      <c r="H8" s="48"/>
      <c r="I8" s="34"/>
      <c r="J8" s="39"/>
    </row>
    <row r="9" spans="2:10" ht="18" customHeight="1" x14ac:dyDescent="0.25">
      <c r="B9" s="45"/>
      <c r="C9" s="34"/>
      <c r="D9" s="8" t="s">
        <v>46</v>
      </c>
      <c r="E9" s="34"/>
      <c r="F9" s="34"/>
      <c r="G9" s="47"/>
      <c r="H9" s="48"/>
      <c r="I9" s="34"/>
      <c r="J9" s="39"/>
    </row>
    <row r="10" spans="2:10" ht="18" customHeight="1" x14ac:dyDescent="0.25">
      <c r="B10" s="45"/>
      <c r="C10" s="8" t="s">
        <v>33</v>
      </c>
      <c r="D10" s="8" t="s">
        <v>45</v>
      </c>
      <c r="E10" s="34"/>
      <c r="F10" s="34"/>
      <c r="G10" s="47"/>
      <c r="H10" s="48"/>
      <c r="I10" s="34"/>
      <c r="J10" s="39"/>
    </row>
    <row r="11" spans="2:10" ht="18" customHeight="1" x14ac:dyDescent="0.25">
      <c r="B11" s="45"/>
      <c r="C11" s="34" t="s">
        <v>40</v>
      </c>
      <c r="D11" s="8" t="s">
        <v>66</v>
      </c>
      <c r="E11" s="34"/>
      <c r="F11" s="34"/>
      <c r="G11" s="47"/>
      <c r="H11" s="48"/>
      <c r="I11" s="34"/>
      <c r="J11" s="39"/>
    </row>
    <row r="12" spans="2:10" ht="18" customHeight="1" x14ac:dyDescent="0.25">
      <c r="B12" s="45"/>
      <c r="C12" s="34"/>
      <c r="D12" s="8" t="s">
        <v>65</v>
      </c>
      <c r="E12" s="34"/>
      <c r="F12" s="34"/>
      <c r="G12" s="47"/>
      <c r="H12" s="48"/>
      <c r="I12" s="34"/>
      <c r="J12" s="39"/>
    </row>
    <row r="13" spans="2:10" ht="18" customHeight="1" x14ac:dyDescent="0.25">
      <c r="B13" s="45"/>
      <c r="C13" s="9" t="s">
        <v>32</v>
      </c>
      <c r="D13" s="9" t="s">
        <v>67</v>
      </c>
      <c r="E13" s="34"/>
      <c r="F13" s="34"/>
      <c r="G13" s="47"/>
      <c r="H13" s="48"/>
      <c r="I13" s="34"/>
      <c r="J13" s="39"/>
    </row>
    <row r="14" spans="2:10" ht="15.75" x14ac:dyDescent="0.25">
      <c r="B14" s="43" t="s">
        <v>74</v>
      </c>
      <c r="C14" s="44"/>
      <c r="D14" s="44"/>
      <c r="E14" s="44"/>
      <c r="F14" s="44"/>
      <c r="G14" s="44"/>
      <c r="H14" s="44"/>
      <c r="I14" s="44"/>
      <c r="J14" s="22">
        <f>SUM(J3)</f>
        <v>289626.16320000001</v>
      </c>
    </row>
    <row r="15" spans="2:10" ht="18" customHeight="1" x14ac:dyDescent="0.25">
      <c r="B15" s="46" t="s">
        <v>85</v>
      </c>
      <c r="C15" s="42" t="s">
        <v>64</v>
      </c>
      <c r="D15" s="11" t="s">
        <v>4</v>
      </c>
      <c r="E15" s="11" t="s">
        <v>28</v>
      </c>
      <c r="F15" s="3">
        <f>50*2.7</f>
        <v>135</v>
      </c>
      <c r="G15" s="5">
        <f>'PLANILHA DETALHADA LICITAÇÃO'!G16</f>
        <v>38.5</v>
      </c>
      <c r="H15" s="6">
        <f>'PLANILHA DETALHADA LICITAÇÃO'!I16</f>
        <v>0.32</v>
      </c>
      <c r="I15" s="5">
        <f>'PLANILHA DETALHADA LICITAÇÃO'!J16</f>
        <v>50.82</v>
      </c>
      <c r="J15" s="23">
        <f>I15*F15</f>
        <v>6860.7</v>
      </c>
    </row>
    <row r="16" spans="2:10" ht="18" customHeight="1" x14ac:dyDescent="0.25">
      <c r="B16" s="46"/>
      <c r="C16" s="42"/>
      <c r="D16" s="11" t="s">
        <v>5</v>
      </c>
      <c r="E16" s="11" t="s">
        <v>28</v>
      </c>
      <c r="F16" s="3">
        <f>10*2.7</f>
        <v>27</v>
      </c>
      <c r="G16" s="5">
        <f>'PLANILHA DETALHADA LICITAÇÃO'!G17</f>
        <v>44</v>
      </c>
      <c r="H16" s="6">
        <f>'PLANILHA DETALHADA LICITAÇÃO'!I17</f>
        <v>0.32</v>
      </c>
      <c r="I16" s="5">
        <f>'PLANILHA DETALHADA LICITAÇÃO'!J17</f>
        <v>58.08</v>
      </c>
      <c r="J16" s="23">
        <f t="shared" ref="J16:J49" si="0">I16*F16</f>
        <v>1568.1599999999999</v>
      </c>
    </row>
    <row r="17" spans="2:10" ht="18" customHeight="1" x14ac:dyDescent="0.25">
      <c r="B17" s="46"/>
      <c r="C17" s="42"/>
      <c r="D17" s="11" t="s">
        <v>10</v>
      </c>
      <c r="E17" s="11" t="s">
        <v>28</v>
      </c>
      <c r="F17" s="3">
        <f>25*2.7</f>
        <v>67.5</v>
      </c>
      <c r="G17" s="5">
        <f>'PLANILHA DETALHADA LICITAÇÃO'!G18</f>
        <v>44</v>
      </c>
      <c r="H17" s="6">
        <f>'PLANILHA DETALHADA LICITAÇÃO'!I18</f>
        <v>0.32</v>
      </c>
      <c r="I17" s="5">
        <f>'PLANILHA DETALHADA LICITAÇÃO'!J18</f>
        <v>58.08</v>
      </c>
      <c r="J17" s="23">
        <f t="shared" si="0"/>
        <v>3920.4</v>
      </c>
    </row>
    <row r="18" spans="2:10" ht="18" customHeight="1" x14ac:dyDescent="0.25">
      <c r="B18" s="46"/>
      <c r="C18" s="42"/>
      <c r="D18" s="11" t="s">
        <v>10</v>
      </c>
      <c r="E18" s="11" t="s">
        <v>28</v>
      </c>
      <c r="F18" s="3">
        <f>25*2.7</f>
        <v>67.5</v>
      </c>
      <c r="G18" s="5">
        <f>'PLANILHA DETALHADA LICITAÇÃO'!G19</f>
        <v>44</v>
      </c>
      <c r="H18" s="6">
        <f>'PLANILHA DETALHADA LICITAÇÃO'!I19</f>
        <v>0.32</v>
      </c>
      <c r="I18" s="5">
        <f>'PLANILHA DETALHADA LICITAÇÃO'!J19</f>
        <v>58.08</v>
      </c>
      <c r="J18" s="23">
        <f t="shared" si="0"/>
        <v>3920.4</v>
      </c>
    </row>
    <row r="19" spans="2:10" ht="18" customHeight="1" x14ac:dyDescent="0.25">
      <c r="B19" s="46"/>
      <c r="C19" s="42"/>
      <c r="D19" s="11" t="s">
        <v>11</v>
      </c>
      <c r="E19" s="11" t="s">
        <v>28</v>
      </c>
      <c r="F19" s="3">
        <f>50*2.7</f>
        <v>135</v>
      </c>
      <c r="G19" s="5">
        <f>'PLANILHA DETALHADA LICITAÇÃO'!G20</f>
        <v>44</v>
      </c>
      <c r="H19" s="6">
        <f>'PLANILHA DETALHADA LICITAÇÃO'!I20</f>
        <v>0.32</v>
      </c>
      <c r="I19" s="5">
        <f>'PLANILHA DETALHADA LICITAÇÃO'!J20</f>
        <v>58.08</v>
      </c>
      <c r="J19" s="23">
        <f t="shared" si="0"/>
        <v>7840.8</v>
      </c>
    </row>
    <row r="20" spans="2:10" ht="18" customHeight="1" x14ac:dyDescent="0.25">
      <c r="B20" s="46"/>
      <c r="C20" s="42"/>
      <c r="D20" s="11" t="s">
        <v>7</v>
      </c>
      <c r="E20" s="11" t="s">
        <v>28</v>
      </c>
      <c r="F20" s="3">
        <f>50*2.7</f>
        <v>135</v>
      </c>
      <c r="G20" s="5">
        <f>'PLANILHA DETALHADA LICITAÇÃO'!G21</f>
        <v>66</v>
      </c>
      <c r="H20" s="6">
        <f>'PLANILHA DETALHADA LICITAÇÃO'!I21</f>
        <v>0.32</v>
      </c>
      <c r="I20" s="5">
        <f>'PLANILHA DETALHADA LICITAÇÃO'!J21</f>
        <v>87.12</v>
      </c>
      <c r="J20" s="23">
        <f t="shared" si="0"/>
        <v>11761.2</v>
      </c>
    </row>
    <row r="21" spans="2:10" ht="18" customHeight="1" x14ac:dyDescent="0.25">
      <c r="B21" s="46"/>
      <c r="C21" s="42"/>
      <c r="D21" s="11" t="s">
        <v>8</v>
      </c>
      <c r="E21" s="11" t="s">
        <v>28</v>
      </c>
      <c r="F21" s="3">
        <f>10*2.7</f>
        <v>27</v>
      </c>
      <c r="G21" s="5">
        <f>'PLANILHA DETALHADA LICITAÇÃO'!G22</f>
        <v>77</v>
      </c>
      <c r="H21" s="6">
        <f>'PLANILHA DETALHADA LICITAÇÃO'!I22</f>
        <v>0.32</v>
      </c>
      <c r="I21" s="5">
        <f>'PLANILHA DETALHADA LICITAÇÃO'!J22</f>
        <v>101.64</v>
      </c>
      <c r="J21" s="23">
        <f t="shared" si="0"/>
        <v>2744.28</v>
      </c>
    </row>
    <row r="22" spans="2:10" ht="18" customHeight="1" x14ac:dyDescent="0.25">
      <c r="B22" s="46"/>
      <c r="C22" s="42"/>
      <c r="D22" s="11" t="s">
        <v>12</v>
      </c>
      <c r="E22" s="11" t="s">
        <v>28</v>
      </c>
      <c r="F22" s="3">
        <f>25*2.7</f>
        <v>67.5</v>
      </c>
      <c r="G22" s="5">
        <f>'PLANILHA DETALHADA LICITAÇÃO'!G23</f>
        <v>77</v>
      </c>
      <c r="H22" s="6">
        <f>'PLANILHA DETALHADA LICITAÇÃO'!I23</f>
        <v>0.32</v>
      </c>
      <c r="I22" s="5">
        <f>'PLANILHA DETALHADA LICITAÇÃO'!J23</f>
        <v>101.64</v>
      </c>
      <c r="J22" s="23">
        <f t="shared" si="0"/>
        <v>6860.7</v>
      </c>
    </row>
    <row r="23" spans="2:10" ht="18" customHeight="1" x14ac:dyDescent="0.25">
      <c r="B23" s="46"/>
      <c r="C23" s="42"/>
      <c r="D23" s="11" t="s">
        <v>9</v>
      </c>
      <c r="E23" s="11" t="s">
        <v>28</v>
      </c>
      <c r="F23" s="3">
        <f>25*2.7</f>
        <v>67.5</v>
      </c>
      <c r="G23" s="5">
        <f>'PLANILHA DETALHADA LICITAÇÃO'!G24</f>
        <v>77</v>
      </c>
      <c r="H23" s="6">
        <f>'PLANILHA DETALHADA LICITAÇÃO'!I24</f>
        <v>0.32</v>
      </c>
      <c r="I23" s="5">
        <f>'PLANILHA DETALHADA LICITAÇÃO'!J24</f>
        <v>101.64</v>
      </c>
      <c r="J23" s="23">
        <f t="shared" si="0"/>
        <v>6860.7</v>
      </c>
    </row>
    <row r="24" spans="2:10" ht="18" customHeight="1" x14ac:dyDescent="0.25">
      <c r="B24" s="46"/>
      <c r="C24" s="42"/>
      <c r="D24" s="11" t="s">
        <v>13</v>
      </c>
      <c r="E24" s="11" t="s">
        <v>28</v>
      </c>
      <c r="F24" s="3">
        <v>9</v>
      </c>
      <c r="G24" s="5">
        <f>'PLANILHA DETALHADA LICITAÇÃO'!G25</f>
        <v>77</v>
      </c>
      <c r="H24" s="6">
        <f>'PLANILHA DETALHADA LICITAÇÃO'!I25</f>
        <v>0.32</v>
      </c>
      <c r="I24" s="5">
        <f>'PLANILHA DETALHADA LICITAÇÃO'!J25</f>
        <v>101.64</v>
      </c>
      <c r="J24" s="23">
        <f t="shared" si="0"/>
        <v>914.76</v>
      </c>
    </row>
    <row r="25" spans="2:10" ht="18" customHeight="1" x14ac:dyDescent="0.25">
      <c r="B25" s="46"/>
      <c r="C25" s="42"/>
      <c r="D25" s="11" t="s">
        <v>47</v>
      </c>
      <c r="E25" s="11" t="s">
        <v>28</v>
      </c>
      <c r="F25" s="3">
        <f>50*2.7</f>
        <v>135</v>
      </c>
      <c r="G25" s="5">
        <f>'PLANILHA DETALHADA LICITAÇÃO'!G26</f>
        <v>66</v>
      </c>
      <c r="H25" s="6">
        <f>'PLANILHA DETALHADA LICITAÇÃO'!I26</f>
        <v>0.32</v>
      </c>
      <c r="I25" s="5">
        <f>'PLANILHA DETALHADA LICITAÇÃO'!J26</f>
        <v>87.12</v>
      </c>
      <c r="J25" s="23">
        <f t="shared" si="0"/>
        <v>11761.2</v>
      </c>
    </row>
    <row r="26" spans="2:10" ht="18" customHeight="1" x14ac:dyDescent="0.25">
      <c r="B26" s="46"/>
      <c r="C26" s="42"/>
      <c r="D26" s="11" t="s">
        <v>48</v>
      </c>
      <c r="E26" s="11" t="s">
        <v>28</v>
      </c>
      <c r="F26" s="3">
        <f>50*2.7</f>
        <v>135</v>
      </c>
      <c r="G26" s="5">
        <f>'PLANILHA DETALHADA LICITAÇÃO'!G27</f>
        <v>27.500000000000004</v>
      </c>
      <c r="H26" s="6">
        <f>'PLANILHA DETALHADA LICITAÇÃO'!I27</f>
        <v>0.32</v>
      </c>
      <c r="I26" s="5">
        <f>'PLANILHA DETALHADA LICITAÇÃO'!J27</f>
        <v>36.300000000000004</v>
      </c>
      <c r="J26" s="23">
        <f t="shared" si="0"/>
        <v>4900.5000000000009</v>
      </c>
    </row>
    <row r="27" spans="2:10" ht="18" customHeight="1" x14ac:dyDescent="0.25">
      <c r="B27" s="46"/>
      <c r="C27" s="42" t="s">
        <v>62</v>
      </c>
      <c r="D27" s="11" t="s">
        <v>14</v>
      </c>
      <c r="E27" s="11" t="s">
        <v>34</v>
      </c>
      <c r="F27" s="3">
        <v>21</v>
      </c>
      <c r="G27" s="5">
        <f>'PLANILHA DETALHADA LICITAÇÃO'!G28</f>
        <v>66</v>
      </c>
      <c r="H27" s="6">
        <f>'PLANILHA DETALHADA LICITAÇÃO'!I28</f>
        <v>0.32</v>
      </c>
      <c r="I27" s="5">
        <f>'PLANILHA DETALHADA LICITAÇÃO'!J28</f>
        <v>87.12</v>
      </c>
      <c r="J27" s="23">
        <f t="shared" si="0"/>
        <v>1829.52</v>
      </c>
    </row>
    <row r="28" spans="2:10" ht="18" customHeight="1" x14ac:dyDescent="0.25">
      <c r="B28" s="46"/>
      <c r="C28" s="42"/>
      <c r="D28" s="11" t="s">
        <v>15</v>
      </c>
      <c r="E28" s="11" t="s">
        <v>34</v>
      </c>
      <c r="F28" s="3">
        <v>21</v>
      </c>
      <c r="G28" s="5">
        <f>'PLANILHA DETALHADA LICITAÇÃO'!G29</f>
        <v>33</v>
      </c>
      <c r="H28" s="6">
        <f>'PLANILHA DETALHADA LICITAÇÃO'!I29</f>
        <v>0.32</v>
      </c>
      <c r="I28" s="5">
        <f>'PLANILHA DETALHADA LICITAÇÃO'!J29</f>
        <v>43.56</v>
      </c>
      <c r="J28" s="23">
        <f t="shared" si="0"/>
        <v>914.76</v>
      </c>
    </row>
    <row r="29" spans="2:10" ht="18" customHeight="1" x14ac:dyDescent="0.25">
      <c r="B29" s="46"/>
      <c r="C29" s="42" t="s">
        <v>35</v>
      </c>
      <c r="D29" s="11" t="s">
        <v>58</v>
      </c>
      <c r="E29" s="11" t="s">
        <v>34</v>
      </c>
      <c r="F29" s="3">
        <v>10</v>
      </c>
      <c r="G29" s="5">
        <f>'PLANILHA DETALHADA LICITAÇÃO'!G30</f>
        <v>55.000000000000007</v>
      </c>
      <c r="H29" s="6">
        <f>'PLANILHA DETALHADA LICITAÇÃO'!I30</f>
        <v>0.32</v>
      </c>
      <c r="I29" s="5">
        <f>'PLANILHA DETALHADA LICITAÇÃO'!J30</f>
        <v>72.600000000000009</v>
      </c>
      <c r="J29" s="23">
        <f t="shared" si="0"/>
        <v>726.00000000000011</v>
      </c>
    </row>
    <row r="30" spans="2:10" ht="18" customHeight="1" x14ac:dyDescent="0.25">
      <c r="B30" s="46"/>
      <c r="C30" s="42"/>
      <c r="D30" s="11" t="s">
        <v>16</v>
      </c>
      <c r="E30" s="11" t="s">
        <v>34</v>
      </c>
      <c r="F30" s="3">
        <v>6</v>
      </c>
      <c r="G30" s="5">
        <f>'PLANILHA DETALHADA LICITAÇÃO'!G31</f>
        <v>110.00000000000001</v>
      </c>
      <c r="H30" s="6">
        <f>'PLANILHA DETALHADA LICITAÇÃO'!I31</f>
        <v>0.32</v>
      </c>
      <c r="I30" s="5">
        <f>'PLANILHA DETALHADA LICITAÇÃO'!J31</f>
        <v>145.20000000000002</v>
      </c>
      <c r="J30" s="23">
        <f t="shared" si="0"/>
        <v>871.2</v>
      </c>
    </row>
    <row r="31" spans="2:10" ht="18" customHeight="1" x14ac:dyDescent="0.25">
      <c r="B31" s="46"/>
      <c r="C31" s="42"/>
      <c r="D31" s="11" t="s">
        <v>17</v>
      </c>
      <c r="E31" s="11" t="s">
        <v>34</v>
      </c>
      <c r="F31" s="3">
        <v>12</v>
      </c>
      <c r="G31" s="5">
        <f>'PLANILHA DETALHADA LICITAÇÃO'!G32</f>
        <v>13.200000000000001</v>
      </c>
      <c r="H31" s="6">
        <f>'PLANILHA DETALHADA LICITAÇÃO'!I32</f>
        <v>0.32</v>
      </c>
      <c r="I31" s="5">
        <f>'PLANILHA DETALHADA LICITAÇÃO'!J32</f>
        <v>17.423999999999999</v>
      </c>
      <c r="J31" s="23">
        <f t="shared" si="0"/>
        <v>209.08799999999999</v>
      </c>
    </row>
    <row r="32" spans="2:10" ht="18" customHeight="1" x14ac:dyDescent="0.25">
      <c r="B32" s="46"/>
      <c r="C32" s="42"/>
      <c r="D32" s="11" t="s">
        <v>53</v>
      </c>
      <c r="E32" s="11" t="s">
        <v>34</v>
      </c>
      <c r="F32" s="3">
        <v>6</v>
      </c>
      <c r="G32" s="5">
        <f>'PLANILHA DETALHADA LICITAÇÃO'!G33</f>
        <v>110.00000000000001</v>
      </c>
      <c r="H32" s="6">
        <f>'PLANILHA DETALHADA LICITAÇÃO'!I33</f>
        <v>0.32</v>
      </c>
      <c r="I32" s="5">
        <f>'PLANILHA DETALHADA LICITAÇÃO'!J33</f>
        <v>145.20000000000002</v>
      </c>
      <c r="J32" s="23">
        <f t="shared" si="0"/>
        <v>871.2</v>
      </c>
    </row>
    <row r="33" spans="2:10" ht="18" customHeight="1" x14ac:dyDescent="0.25">
      <c r="B33" s="46"/>
      <c r="C33" s="42"/>
      <c r="D33" s="3" t="s">
        <v>59</v>
      </c>
      <c r="E33" s="11" t="s">
        <v>34</v>
      </c>
      <c r="F33" s="3">
        <v>6</v>
      </c>
      <c r="G33" s="5">
        <f>'PLANILHA DETALHADA LICITAÇÃO'!G34</f>
        <v>77</v>
      </c>
      <c r="H33" s="6">
        <f>'PLANILHA DETALHADA LICITAÇÃO'!I34</f>
        <v>0.32</v>
      </c>
      <c r="I33" s="5">
        <f>'PLANILHA DETALHADA LICITAÇÃO'!J34</f>
        <v>101.64</v>
      </c>
      <c r="J33" s="23">
        <f t="shared" si="0"/>
        <v>609.84</v>
      </c>
    </row>
    <row r="34" spans="2:10" ht="18" customHeight="1" x14ac:dyDescent="0.25">
      <c r="B34" s="46"/>
      <c r="C34" s="42"/>
      <c r="D34" s="3" t="s">
        <v>60</v>
      </c>
      <c r="E34" s="11" t="s">
        <v>34</v>
      </c>
      <c r="F34" s="3">
        <v>6</v>
      </c>
      <c r="G34" s="5">
        <f>'PLANILHA DETALHADA LICITAÇÃO'!G35</f>
        <v>77</v>
      </c>
      <c r="H34" s="6">
        <f>'PLANILHA DETALHADA LICITAÇÃO'!I35</f>
        <v>0.32</v>
      </c>
      <c r="I34" s="5">
        <f>'PLANILHA DETALHADA LICITAÇÃO'!J35</f>
        <v>101.64</v>
      </c>
      <c r="J34" s="23">
        <f t="shared" si="0"/>
        <v>609.84</v>
      </c>
    </row>
    <row r="35" spans="2:10" ht="18" customHeight="1" x14ac:dyDescent="0.25">
      <c r="B35" s="46"/>
      <c r="C35" s="42" t="s">
        <v>71</v>
      </c>
      <c r="D35" s="11" t="s">
        <v>21</v>
      </c>
      <c r="E35" s="11" t="s">
        <v>28</v>
      </c>
      <c r="F35" s="3">
        <v>180</v>
      </c>
      <c r="G35" s="5">
        <f>'PLANILHA DETALHADA LICITAÇÃO'!G36</f>
        <v>15.400000000000002</v>
      </c>
      <c r="H35" s="6">
        <f>'PLANILHA DETALHADA LICITAÇÃO'!I36</f>
        <v>0.32</v>
      </c>
      <c r="I35" s="5">
        <f>'PLANILHA DETALHADA LICITAÇÃO'!J36</f>
        <v>20.328000000000003</v>
      </c>
      <c r="J35" s="23">
        <f t="shared" si="0"/>
        <v>3659.0400000000004</v>
      </c>
    </row>
    <row r="36" spans="2:10" ht="18" customHeight="1" x14ac:dyDescent="0.25">
      <c r="B36" s="46"/>
      <c r="C36" s="42"/>
      <c r="D36" s="11" t="s">
        <v>22</v>
      </c>
      <c r="E36" s="11" t="s">
        <v>28</v>
      </c>
      <c r="F36" s="3">
        <v>18</v>
      </c>
      <c r="G36" s="5">
        <f>'PLANILHA DETALHADA LICITAÇÃO'!G37</f>
        <v>14.3</v>
      </c>
      <c r="H36" s="6">
        <f>'PLANILHA DETALHADA LICITAÇÃO'!I37</f>
        <v>0.32</v>
      </c>
      <c r="I36" s="5">
        <f>'PLANILHA DETALHADA LICITAÇÃO'!J37</f>
        <v>18.876000000000001</v>
      </c>
      <c r="J36" s="23">
        <f t="shared" si="0"/>
        <v>339.76800000000003</v>
      </c>
    </row>
    <row r="37" spans="2:10" ht="18" customHeight="1" x14ac:dyDescent="0.25">
      <c r="B37" s="46"/>
      <c r="C37" s="42"/>
      <c r="D37" s="11" t="s">
        <v>23</v>
      </c>
      <c r="E37" s="11" t="s">
        <v>28</v>
      </c>
      <c r="F37" s="3">
        <v>180</v>
      </c>
      <c r="G37" s="5">
        <f>'PLANILHA DETALHADA LICITAÇÃO'!G38</f>
        <v>14.3</v>
      </c>
      <c r="H37" s="6">
        <f>'PLANILHA DETALHADA LICITAÇÃO'!I38</f>
        <v>0.32</v>
      </c>
      <c r="I37" s="5">
        <f>'PLANILHA DETALHADA LICITAÇÃO'!J38</f>
        <v>18.876000000000001</v>
      </c>
      <c r="J37" s="23">
        <f t="shared" si="0"/>
        <v>3397.6800000000003</v>
      </c>
    </row>
    <row r="38" spans="2:10" ht="18" customHeight="1" x14ac:dyDescent="0.25">
      <c r="B38" s="46"/>
      <c r="C38" s="42"/>
      <c r="D38" s="11" t="s">
        <v>24</v>
      </c>
      <c r="E38" s="11" t="s">
        <v>28</v>
      </c>
      <c r="F38" s="3">
        <v>18</v>
      </c>
      <c r="G38" s="5">
        <f>'PLANILHA DETALHADA LICITAÇÃO'!G39</f>
        <v>13.200000000000001</v>
      </c>
      <c r="H38" s="6">
        <f>'PLANILHA DETALHADA LICITAÇÃO'!I39</f>
        <v>0.32</v>
      </c>
      <c r="I38" s="5">
        <f>'PLANILHA DETALHADA LICITAÇÃO'!J39</f>
        <v>17.423999999999999</v>
      </c>
      <c r="J38" s="23">
        <f t="shared" si="0"/>
        <v>313.63200000000001</v>
      </c>
    </row>
    <row r="39" spans="2:10" ht="18" customHeight="1" x14ac:dyDescent="0.25">
      <c r="B39" s="46"/>
      <c r="C39" s="42"/>
      <c r="D39" s="11" t="s">
        <v>25</v>
      </c>
      <c r="E39" s="11" t="s">
        <v>28</v>
      </c>
      <c r="F39" s="3">
        <v>18</v>
      </c>
      <c r="G39" s="5">
        <f>'PLANILHA DETALHADA LICITAÇÃO'!G40</f>
        <v>6.6000000000000005</v>
      </c>
      <c r="H39" s="6">
        <f>'PLANILHA DETALHADA LICITAÇÃO'!I40</f>
        <v>0.32</v>
      </c>
      <c r="I39" s="5">
        <f>'PLANILHA DETALHADA LICITAÇÃO'!J40</f>
        <v>8.7119999999999997</v>
      </c>
      <c r="J39" s="23">
        <f t="shared" si="0"/>
        <v>156.816</v>
      </c>
    </row>
    <row r="40" spans="2:10" ht="18" customHeight="1" x14ac:dyDescent="0.25">
      <c r="B40" s="46"/>
      <c r="C40" s="42"/>
      <c r="D40" s="11" t="s">
        <v>26</v>
      </c>
      <c r="E40" s="11" t="s">
        <v>28</v>
      </c>
      <c r="F40" s="3">
        <v>18</v>
      </c>
      <c r="G40" s="5">
        <f>'PLANILHA DETALHADA LICITAÇÃO'!G41</f>
        <v>8.25</v>
      </c>
      <c r="H40" s="6">
        <f>'PLANILHA DETALHADA LICITAÇÃO'!I41</f>
        <v>0.32</v>
      </c>
      <c r="I40" s="5">
        <f>'PLANILHA DETALHADA LICITAÇÃO'!J41</f>
        <v>10.89</v>
      </c>
      <c r="J40" s="23">
        <f t="shared" si="0"/>
        <v>196.02</v>
      </c>
    </row>
    <row r="41" spans="2:10" ht="18" customHeight="1" x14ac:dyDescent="0.25">
      <c r="B41" s="46"/>
      <c r="C41" s="42"/>
      <c r="D41" s="11" t="s">
        <v>27</v>
      </c>
      <c r="E41" s="11" t="s">
        <v>28</v>
      </c>
      <c r="F41" s="3">
        <v>180</v>
      </c>
      <c r="G41" s="5">
        <f>'PLANILHA DETALHADA LICITAÇÃO'!G42</f>
        <v>6.6000000000000005</v>
      </c>
      <c r="H41" s="6">
        <f>'PLANILHA DETALHADA LICITAÇÃO'!I42</f>
        <v>0.32</v>
      </c>
      <c r="I41" s="5">
        <f>'PLANILHA DETALHADA LICITAÇÃO'!J42</f>
        <v>8.7119999999999997</v>
      </c>
      <c r="J41" s="23">
        <f t="shared" si="0"/>
        <v>1568.1599999999999</v>
      </c>
    </row>
    <row r="42" spans="2:10" ht="18" customHeight="1" x14ac:dyDescent="0.25">
      <c r="B42" s="46"/>
      <c r="C42" s="42"/>
      <c r="D42" s="11" t="s">
        <v>18</v>
      </c>
      <c r="E42" s="11" t="s">
        <v>28</v>
      </c>
      <c r="F42" s="3">
        <v>75</v>
      </c>
      <c r="G42" s="5">
        <f>'PLANILHA DETALHADA LICITAÇÃO'!G43</f>
        <v>77</v>
      </c>
      <c r="H42" s="6">
        <f>'PLANILHA DETALHADA LICITAÇÃO'!I43</f>
        <v>0.32</v>
      </c>
      <c r="I42" s="5">
        <f>'PLANILHA DETALHADA LICITAÇÃO'!J43</f>
        <v>101.64</v>
      </c>
      <c r="J42" s="23">
        <f t="shared" si="0"/>
        <v>7623</v>
      </c>
    </row>
    <row r="43" spans="2:10" ht="18" customHeight="1" x14ac:dyDescent="0.25">
      <c r="B43" s="46"/>
      <c r="C43" s="42"/>
      <c r="D43" s="11" t="s">
        <v>19</v>
      </c>
      <c r="E43" s="11" t="s">
        <v>28</v>
      </c>
      <c r="F43" s="3">
        <v>75</v>
      </c>
      <c r="G43" s="5">
        <f>'PLANILHA DETALHADA LICITAÇÃO'!G44</f>
        <v>77</v>
      </c>
      <c r="H43" s="6">
        <f>'PLANILHA DETALHADA LICITAÇÃO'!I44</f>
        <v>0.32</v>
      </c>
      <c r="I43" s="5">
        <f>'PLANILHA DETALHADA LICITAÇÃO'!J44</f>
        <v>101.64</v>
      </c>
      <c r="J43" s="23">
        <f t="shared" si="0"/>
        <v>7623</v>
      </c>
    </row>
    <row r="44" spans="2:10" ht="18" customHeight="1" x14ac:dyDescent="0.25">
      <c r="B44" s="46"/>
      <c r="C44" s="42"/>
      <c r="D44" s="11" t="s">
        <v>20</v>
      </c>
      <c r="E44" s="11" t="s">
        <v>28</v>
      </c>
      <c r="F44" s="3">
        <v>150</v>
      </c>
      <c r="G44" s="5">
        <f>'PLANILHA DETALHADA LICITAÇÃO'!G45</f>
        <v>16.5</v>
      </c>
      <c r="H44" s="6">
        <f>'PLANILHA DETALHADA LICITAÇÃO'!I45</f>
        <v>0.32</v>
      </c>
      <c r="I44" s="5">
        <f>'PLANILHA DETALHADA LICITAÇÃO'!J45</f>
        <v>21.78</v>
      </c>
      <c r="J44" s="23">
        <f t="shared" si="0"/>
        <v>3267</v>
      </c>
    </row>
    <row r="45" spans="2:10" ht="18" customHeight="1" x14ac:dyDescent="0.25">
      <c r="B45" s="46"/>
      <c r="C45" s="42"/>
      <c r="D45" s="11" t="s">
        <v>49</v>
      </c>
      <c r="E45" s="11" t="s">
        <v>34</v>
      </c>
      <c r="F45" s="3">
        <v>10</v>
      </c>
      <c r="G45" s="5">
        <f>'PLANILHA DETALHADA LICITAÇÃO'!G46</f>
        <v>495.00000000000006</v>
      </c>
      <c r="H45" s="6">
        <f>'PLANILHA DETALHADA LICITAÇÃO'!I46</f>
        <v>0.32</v>
      </c>
      <c r="I45" s="5">
        <f>'PLANILHA DETALHADA LICITAÇÃO'!J46</f>
        <v>653.40000000000009</v>
      </c>
      <c r="J45" s="23">
        <f t="shared" si="0"/>
        <v>6534.0000000000009</v>
      </c>
    </row>
    <row r="46" spans="2:10" ht="18" customHeight="1" x14ac:dyDescent="0.25">
      <c r="B46" s="46"/>
      <c r="C46" s="3" t="s">
        <v>44</v>
      </c>
      <c r="D46" s="3" t="s">
        <v>61</v>
      </c>
      <c r="E46" s="3" t="s">
        <v>28</v>
      </c>
      <c r="F46" s="3">
        <f>3604.56*4</f>
        <v>14418.24</v>
      </c>
      <c r="G46" s="5">
        <f>'PLANILHA DETALHADA LICITAÇÃO'!G47</f>
        <v>0.3</v>
      </c>
      <c r="H46" s="6">
        <f>'PLANILHA DETALHADA LICITAÇÃO'!I47</f>
        <v>0.32</v>
      </c>
      <c r="I46" s="5">
        <f>'PLANILHA DETALHADA LICITAÇÃO'!J47</f>
        <v>0.39600000000000002</v>
      </c>
      <c r="J46" s="23">
        <f t="shared" si="0"/>
        <v>5709.6230400000004</v>
      </c>
    </row>
    <row r="47" spans="2:10" ht="18" customHeight="1" x14ac:dyDescent="0.25">
      <c r="B47" s="46"/>
      <c r="C47" s="3" t="s">
        <v>63</v>
      </c>
      <c r="D47" s="3" t="s">
        <v>57</v>
      </c>
      <c r="E47" s="3" t="s">
        <v>56</v>
      </c>
      <c r="F47" s="3">
        <v>24</v>
      </c>
      <c r="G47" s="5">
        <f>'PLANILHA DETALHADA LICITAÇÃO'!G48</f>
        <v>334.86363636363637</v>
      </c>
      <c r="H47" s="6">
        <f>'PLANILHA DETALHADA LICITAÇÃO'!I48</f>
        <v>0.32</v>
      </c>
      <c r="I47" s="5">
        <f>'PLANILHA DETALHADA LICITAÇÃO'!J48</f>
        <v>442.02</v>
      </c>
      <c r="J47" s="23">
        <f t="shared" si="0"/>
        <v>10608.48</v>
      </c>
    </row>
    <row r="48" spans="2:10" ht="18" customHeight="1" x14ac:dyDescent="0.25">
      <c r="B48" s="46"/>
      <c r="C48" s="3" t="s">
        <v>54</v>
      </c>
      <c r="D48" s="3" t="s">
        <v>55</v>
      </c>
      <c r="E48" s="3" t="s">
        <v>56</v>
      </c>
      <c r="F48" s="3">
        <v>52</v>
      </c>
      <c r="G48" s="5">
        <f>'PLANILHA DETALHADA LICITAÇÃO'!G49</f>
        <v>207.45454545454547</v>
      </c>
      <c r="H48" s="6">
        <f>'PLANILHA DETALHADA LICITAÇÃO'!I49</f>
        <v>0.32</v>
      </c>
      <c r="I48" s="5">
        <f>'PLANILHA DETALHADA LICITAÇÃO'!J49</f>
        <v>273.84000000000003</v>
      </c>
      <c r="J48" s="23">
        <f t="shared" si="0"/>
        <v>14239.680000000002</v>
      </c>
    </row>
    <row r="49" spans="2:10" ht="18" customHeight="1" x14ac:dyDescent="0.25">
      <c r="B49" s="46"/>
      <c r="C49" s="3" t="s">
        <v>73</v>
      </c>
      <c r="D49" s="3" t="s">
        <v>72</v>
      </c>
      <c r="E49" s="11" t="s">
        <v>34</v>
      </c>
      <c r="F49" s="12">
        <v>1</v>
      </c>
      <c r="G49" s="5">
        <f>'PLANILHA DETALHADA LICITAÇÃO'!G50</f>
        <v>476.81818181818181</v>
      </c>
      <c r="H49" s="6">
        <f>'PLANILHA DETALHADA LICITAÇÃO'!I50</f>
        <v>0.32</v>
      </c>
      <c r="I49" s="5">
        <f>'PLANILHA DETALHADA LICITAÇÃO'!J50</f>
        <v>629.4</v>
      </c>
      <c r="J49" s="23">
        <f t="shared" si="0"/>
        <v>629.4</v>
      </c>
    </row>
    <row r="50" spans="2:10" ht="15.75" x14ac:dyDescent="0.25">
      <c r="B50" s="43" t="s">
        <v>78</v>
      </c>
      <c r="C50" s="44"/>
      <c r="D50" s="44"/>
      <c r="E50" s="44"/>
      <c r="F50" s="44"/>
      <c r="G50" s="44"/>
      <c r="H50" s="44"/>
      <c r="I50" s="44"/>
      <c r="J50" s="24">
        <f>SUM(J15:J49)</f>
        <v>142420.54703999998</v>
      </c>
    </row>
    <row r="51" spans="2:10" ht="31.5" x14ac:dyDescent="0.25">
      <c r="B51" s="25" t="s">
        <v>86</v>
      </c>
      <c r="C51" s="16" t="s">
        <v>39</v>
      </c>
      <c r="D51" s="17" t="s">
        <v>69</v>
      </c>
      <c r="E51" s="16" t="s">
        <v>68</v>
      </c>
      <c r="F51" s="16">
        <v>12</v>
      </c>
      <c r="G51" s="18">
        <f>'PLANILHA DETALHADA LICITAÇÃO'!G52</f>
        <v>20000</v>
      </c>
      <c r="H51" s="19">
        <f>'PLANILHA DETALHADA LICITAÇÃO'!I52</f>
        <v>0.32</v>
      </c>
      <c r="I51" s="18">
        <f>'PLANILHA DETALHADA LICITAÇÃO'!J52</f>
        <v>26400</v>
      </c>
      <c r="J51" s="26">
        <f>I51*F51</f>
        <v>316800</v>
      </c>
    </row>
    <row r="52" spans="2:10" ht="15.75" x14ac:dyDescent="0.25">
      <c r="B52" s="43" t="s">
        <v>75</v>
      </c>
      <c r="C52" s="44"/>
      <c r="D52" s="44"/>
      <c r="E52" s="44"/>
      <c r="F52" s="44"/>
      <c r="G52" s="44"/>
      <c r="H52" s="44"/>
      <c r="I52" s="44"/>
      <c r="J52" s="22">
        <f>SUM(J51)</f>
        <v>316800</v>
      </c>
    </row>
    <row r="53" spans="2:10" ht="16.5" thickBot="1" x14ac:dyDescent="0.3">
      <c r="B53" s="40" t="s">
        <v>83</v>
      </c>
      <c r="C53" s="41"/>
      <c r="D53" s="41"/>
      <c r="E53" s="41"/>
      <c r="F53" s="41"/>
      <c r="G53" s="41"/>
      <c r="H53" s="41"/>
      <c r="I53" s="41"/>
      <c r="J53" s="27">
        <f>J52+J50+J14</f>
        <v>748846.71023999993</v>
      </c>
    </row>
    <row r="55" spans="2:10" x14ac:dyDescent="0.25">
      <c r="B55" s="4"/>
      <c r="J55" s="7"/>
    </row>
  </sheetData>
  <mergeCells count="20">
    <mergeCell ref="F3:F13"/>
    <mergeCell ref="E3:E13"/>
    <mergeCell ref="G3:G13"/>
    <mergeCell ref="H3:H13"/>
    <mergeCell ref="I3:I13"/>
    <mergeCell ref="B1:J1"/>
    <mergeCell ref="J3:J13"/>
    <mergeCell ref="B53:I53"/>
    <mergeCell ref="C29:C34"/>
    <mergeCell ref="C35:C45"/>
    <mergeCell ref="C5:C9"/>
    <mergeCell ref="C3:C4"/>
    <mergeCell ref="B52:I52"/>
    <mergeCell ref="B50:I50"/>
    <mergeCell ref="C15:C26"/>
    <mergeCell ref="C27:C28"/>
    <mergeCell ref="C11:C12"/>
    <mergeCell ref="B3:B13"/>
    <mergeCell ref="B14:I14"/>
    <mergeCell ref="B15:B49"/>
  </mergeCells>
  <pageMargins left="0.511811024" right="0.511811024" top="0.78740157499999996" bottom="0.78740157499999996" header="0.31496062000000002" footer="0.31496062000000002"/>
  <pageSetup paperSize="9" scale="41" orientation="landscape" verticalDpi="0" r:id="rId1"/>
  <ignoredErrors>
    <ignoredError sqref="J5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56"/>
  <sheetViews>
    <sheetView tabSelected="1" zoomScale="74" zoomScaleNormal="74" workbookViewId="0">
      <selection activeCell="B16" sqref="B16:B50"/>
    </sheetView>
  </sheetViews>
  <sheetFormatPr defaultRowHeight="15" x14ac:dyDescent="0.25"/>
  <cols>
    <col min="1" max="1" width="2.7109375" customWidth="1"/>
    <col min="2" max="2" width="32" bestFit="1" customWidth="1"/>
    <col min="3" max="3" width="59.7109375" customWidth="1"/>
    <col min="4" max="4" width="117" style="2" customWidth="1"/>
    <col min="5" max="5" width="9.5703125" style="2" bestFit="1" customWidth="1"/>
    <col min="6" max="6" width="13.28515625" style="2" bestFit="1" customWidth="1"/>
    <col min="7" max="7" width="16.5703125" style="2" bestFit="1" customWidth="1"/>
    <col min="8" max="8" width="14.28515625" style="2" bestFit="1" customWidth="1"/>
    <col min="9" max="9" width="9.5703125" style="2" bestFit="1" customWidth="1"/>
    <col min="10" max="10" width="33.85546875" style="2" bestFit="1" customWidth="1"/>
    <col min="11" max="11" width="16.7109375" style="2" bestFit="1" customWidth="1"/>
  </cols>
  <sheetData>
    <row r="1" spans="2:11" ht="15.75" x14ac:dyDescent="0.25">
      <c r="B1" s="35" t="s">
        <v>79</v>
      </c>
      <c r="C1" s="36"/>
      <c r="D1" s="36"/>
      <c r="E1" s="36"/>
      <c r="F1" s="36"/>
      <c r="G1" s="36"/>
      <c r="H1" s="36"/>
      <c r="I1" s="36"/>
      <c r="J1" s="36"/>
      <c r="K1" s="37"/>
    </row>
    <row r="2" spans="2:11" ht="18" customHeight="1" x14ac:dyDescent="0.25">
      <c r="B2" s="20" t="s">
        <v>1</v>
      </c>
      <c r="C2" s="15" t="s">
        <v>43</v>
      </c>
      <c r="D2" s="15" t="s">
        <v>0</v>
      </c>
      <c r="E2" s="15" t="s">
        <v>2</v>
      </c>
      <c r="F2" s="15" t="s">
        <v>3</v>
      </c>
      <c r="G2" s="15" t="s">
        <v>42</v>
      </c>
      <c r="H2" s="15" t="s">
        <v>80</v>
      </c>
      <c r="I2" s="15" t="s">
        <v>50</v>
      </c>
      <c r="J2" s="15" t="s">
        <v>51</v>
      </c>
      <c r="K2" s="21" t="s">
        <v>52</v>
      </c>
    </row>
    <row r="3" spans="2:11" ht="18" customHeight="1" x14ac:dyDescent="0.25">
      <c r="B3" s="45" t="s">
        <v>76</v>
      </c>
      <c r="C3" s="34" t="s">
        <v>31</v>
      </c>
      <c r="D3" s="8" t="s">
        <v>29</v>
      </c>
      <c r="E3" s="9" t="s">
        <v>34</v>
      </c>
      <c r="F3" s="9">
        <v>4</v>
      </c>
      <c r="G3" s="13">
        <f>316.19+225.59</f>
        <v>541.78</v>
      </c>
      <c r="H3" s="13">
        <f>G3*I3</f>
        <v>173.36959999999999</v>
      </c>
      <c r="I3" s="14">
        <v>0.32</v>
      </c>
      <c r="J3" s="10">
        <f>G3+H3</f>
        <v>715.14959999999996</v>
      </c>
      <c r="K3" s="28">
        <f>J3*F3</f>
        <v>2860.5983999999999</v>
      </c>
    </row>
    <row r="4" spans="2:11" ht="18" customHeight="1" x14ac:dyDescent="0.25">
      <c r="B4" s="45"/>
      <c r="C4" s="34"/>
      <c r="D4" s="8" t="s">
        <v>30</v>
      </c>
      <c r="E4" s="9" t="s">
        <v>34</v>
      </c>
      <c r="F4" s="9">
        <v>4</v>
      </c>
      <c r="G4" s="13">
        <f>316.19+225.59</f>
        <v>541.78</v>
      </c>
      <c r="H4" s="13">
        <f>G4*I4</f>
        <v>173.36959999999999</v>
      </c>
      <c r="I4" s="14">
        <v>0.32</v>
      </c>
      <c r="J4" s="10">
        <f>G4+H4</f>
        <v>715.14959999999996</v>
      </c>
      <c r="K4" s="28">
        <f>J4*F4</f>
        <v>2860.5983999999999</v>
      </c>
    </row>
    <row r="5" spans="2:11" ht="18" customHeight="1" x14ac:dyDescent="0.25">
      <c r="B5" s="45"/>
      <c r="C5" s="34" t="s">
        <v>36</v>
      </c>
      <c r="D5" s="8" t="s">
        <v>37</v>
      </c>
      <c r="E5" s="9" t="s">
        <v>34</v>
      </c>
      <c r="F5" s="9">
        <v>10</v>
      </c>
      <c r="G5" s="32">
        <f t="shared" ref="G5:G8" si="0">316.19+225.59</f>
        <v>541.78</v>
      </c>
      <c r="H5" s="13">
        <f t="shared" ref="H5:H12" si="1">G5*I5</f>
        <v>173.36959999999999</v>
      </c>
      <c r="I5" s="14">
        <v>0.32</v>
      </c>
      <c r="J5" s="10">
        <f t="shared" ref="J5:J12" si="2">G5+H5</f>
        <v>715.14959999999996</v>
      </c>
      <c r="K5" s="28">
        <f t="shared" ref="K5:K12" si="3">J5*F5</f>
        <v>7151.4959999999992</v>
      </c>
    </row>
    <row r="6" spans="2:11" ht="18" customHeight="1" x14ac:dyDescent="0.25">
      <c r="B6" s="45"/>
      <c r="C6" s="34"/>
      <c r="D6" s="8" t="s">
        <v>38</v>
      </c>
      <c r="E6" s="9" t="s">
        <v>34</v>
      </c>
      <c r="F6" s="9">
        <v>1</v>
      </c>
      <c r="G6" s="32">
        <f t="shared" si="0"/>
        <v>541.78</v>
      </c>
      <c r="H6" s="13">
        <f t="shared" si="1"/>
        <v>173.36959999999999</v>
      </c>
      <c r="I6" s="14">
        <v>0.32</v>
      </c>
      <c r="J6" s="10">
        <f t="shared" si="2"/>
        <v>715.14959999999996</v>
      </c>
      <c r="K6" s="28">
        <f t="shared" si="3"/>
        <v>715.14959999999996</v>
      </c>
    </row>
    <row r="7" spans="2:11" ht="18" customHeight="1" x14ac:dyDescent="0.25">
      <c r="B7" s="45"/>
      <c r="C7" s="34"/>
      <c r="D7" s="8" t="s">
        <v>70</v>
      </c>
      <c r="E7" s="9" t="s">
        <v>34</v>
      </c>
      <c r="F7" s="9">
        <v>2</v>
      </c>
      <c r="G7" s="32">
        <f t="shared" si="0"/>
        <v>541.78</v>
      </c>
      <c r="H7" s="13">
        <f t="shared" si="1"/>
        <v>173.36959999999999</v>
      </c>
      <c r="I7" s="14">
        <v>0.32</v>
      </c>
      <c r="J7" s="10">
        <f t="shared" si="2"/>
        <v>715.14959999999996</v>
      </c>
      <c r="K7" s="28">
        <f t="shared" si="3"/>
        <v>1430.2991999999999</v>
      </c>
    </row>
    <row r="8" spans="2:11" ht="18" customHeight="1" x14ac:dyDescent="0.25">
      <c r="B8" s="45"/>
      <c r="C8" s="34"/>
      <c r="D8" s="8" t="s">
        <v>41</v>
      </c>
      <c r="E8" s="9" t="s">
        <v>34</v>
      </c>
      <c r="F8" s="9">
        <v>1</v>
      </c>
      <c r="G8" s="32">
        <f t="shared" si="0"/>
        <v>541.78</v>
      </c>
      <c r="H8" s="13">
        <f t="shared" si="1"/>
        <v>173.36959999999999</v>
      </c>
      <c r="I8" s="14">
        <v>0.32</v>
      </c>
      <c r="J8" s="10">
        <f t="shared" si="2"/>
        <v>715.14959999999996</v>
      </c>
      <c r="K8" s="28">
        <f t="shared" si="3"/>
        <v>715.14959999999996</v>
      </c>
    </row>
    <row r="9" spans="2:11" ht="18" customHeight="1" x14ac:dyDescent="0.25">
      <c r="B9" s="45"/>
      <c r="C9" s="34"/>
      <c r="D9" s="8" t="s">
        <v>46</v>
      </c>
      <c r="E9" s="9" t="s">
        <v>28</v>
      </c>
      <c r="F9" s="9">
        <v>3604.56</v>
      </c>
      <c r="G9" s="13">
        <f>(316.19+225.59)/3604.56</f>
        <v>0.15030405930266108</v>
      </c>
      <c r="H9" s="13">
        <f t="shared" si="1"/>
        <v>4.8097298976851548E-2</v>
      </c>
      <c r="I9" s="14">
        <v>0.32</v>
      </c>
      <c r="J9" s="10">
        <f t="shared" si="2"/>
        <v>0.19840135827951264</v>
      </c>
      <c r="K9" s="28">
        <f t="shared" si="3"/>
        <v>715.14960000000008</v>
      </c>
    </row>
    <row r="10" spans="2:11" ht="18" customHeight="1" x14ac:dyDescent="0.25">
      <c r="B10" s="45"/>
      <c r="C10" s="8" t="s">
        <v>33</v>
      </c>
      <c r="D10" s="8" t="s">
        <v>45</v>
      </c>
      <c r="E10" s="9" t="s">
        <v>28</v>
      </c>
      <c r="F10" s="9">
        <v>3604.56</v>
      </c>
      <c r="G10" s="13">
        <f>(754+225.59)/3604.56</f>
        <v>0.27176409880817631</v>
      </c>
      <c r="H10" s="13">
        <f t="shared" si="1"/>
        <v>8.6964511618616416E-2</v>
      </c>
      <c r="I10" s="14">
        <v>0.32</v>
      </c>
      <c r="J10" s="10">
        <f t="shared" si="2"/>
        <v>0.35872861042679272</v>
      </c>
      <c r="K10" s="28">
        <f t="shared" si="3"/>
        <v>1293.0588</v>
      </c>
    </row>
    <row r="11" spans="2:11" ht="18" customHeight="1" x14ac:dyDescent="0.25">
      <c r="B11" s="45"/>
      <c r="C11" s="34" t="s">
        <v>40</v>
      </c>
      <c r="D11" s="8" t="s">
        <v>66</v>
      </c>
      <c r="E11" s="9" t="s">
        <v>34</v>
      </c>
      <c r="F11" s="9">
        <v>2</v>
      </c>
      <c r="G11" s="13">
        <f>754+225.59</f>
        <v>979.59</v>
      </c>
      <c r="H11" s="13">
        <f t="shared" si="1"/>
        <v>313.46880000000004</v>
      </c>
      <c r="I11" s="14">
        <v>0.32</v>
      </c>
      <c r="J11" s="10">
        <f t="shared" si="2"/>
        <v>1293.0588</v>
      </c>
      <c r="K11" s="28">
        <f t="shared" si="3"/>
        <v>2586.1176</v>
      </c>
    </row>
    <row r="12" spans="2:11" ht="18" customHeight="1" x14ac:dyDescent="0.25">
      <c r="B12" s="45"/>
      <c r="C12" s="34"/>
      <c r="D12" s="8" t="s">
        <v>65</v>
      </c>
      <c r="E12" s="9" t="s">
        <v>34</v>
      </c>
      <c r="F12" s="9">
        <v>2</v>
      </c>
      <c r="G12" s="13">
        <f>754+225.59</f>
        <v>979.59</v>
      </c>
      <c r="H12" s="13">
        <f t="shared" si="1"/>
        <v>313.46880000000004</v>
      </c>
      <c r="I12" s="14">
        <v>0.32</v>
      </c>
      <c r="J12" s="10">
        <f t="shared" si="2"/>
        <v>1293.0588</v>
      </c>
      <c r="K12" s="28">
        <f t="shared" si="3"/>
        <v>2586.1176</v>
      </c>
    </row>
    <row r="13" spans="2:11" ht="18" customHeight="1" x14ac:dyDescent="0.25">
      <c r="B13" s="45"/>
      <c r="C13" s="9" t="s">
        <v>32</v>
      </c>
      <c r="D13" s="9" t="s">
        <v>67</v>
      </c>
      <c r="E13" s="9" t="s">
        <v>34</v>
      </c>
      <c r="F13" s="9">
        <v>1</v>
      </c>
      <c r="G13" s="13">
        <f>700+225.59</f>
        <v>925.59</v>
      </c>
      <c r="H13" s="13">
        <f>G13*I13</f>
        <v>296.18880000000001</v>
      </c>
      <c r="I13" s="14">
        <v>0.32</v>
      </c>
      <c r="J13" s="10">
        <f>G13+H13</f>
        <v>1221.7788</v>
      </c>
      <c r="K13" s="29">
        <f>J13*F13</f>
        <v>1221.7788</v>
      </c>
    </row>
    <row r="14" spans="2:11" ht="15.75" x14ac:dyDescent="0.25">
      <c r="B14" s="49" t="s">
        <v>81</v>
      </c>
      <c r="C14" s="50"/>
      <c r="D14" s="50"/>
      <c r="E14" s="50"/>
      <c r="F14" s="50"/>
      <c r="G14" s="50"/>
      <c r="H14" s="50"/>
      <c r="I14" s="50"/>
      <c r="J14" s="50"/>
      <c r="K14" s="30">
        <f>SUM(K3:K13)</f>
        <v>24135.513600000002</v>
      </c>
    </row>
    <row r="15" spans="2:11" ht="15.75" x14ac:dyDescent="0.25">
      <c r="B15" s="43" t="s">
        <v>84</v>
      </c>
      <c r="C15" s="44"/>
      <c r="D15" s="44"/>
      <c r="E15" s="44"/>
      <c r="F15" s="44"/>
      <c r="G15" s="44"/>
      <c r="H15" s="44"/>
      <c r="I15" s="44"/>
      <c r="J15" s="44"/>
      <c r="K15" s="22">
        <f>K14*12</f>
        <v>289626.16320000001</v>
      </c>
    </row>
    <row r="16" spans="2:11" ht="18" customHeight="1" x14ac:dyDescent="0.25">
      <c r="B16" s="46" t="s">
        <v>85</v>
      </c>
      <c r="C16" s="42" t="s">
        <v>64</v>
      </c>
      <c r="D16" s="11" t="s">
        <v>4</v>
      </c>
      <c r="E16" s="11" t="s">
        <v>28</v>
      </c>
      <c r="F16" s="3">
        <f>50*2.7</f>
        <v>135</v>
      </c>
      <c r="G16" s="5">
        <f>35*1.1</f>
        <v>38.5</v>
      </c>
      <c r="H16" s="5">
        <f>G16*I16</f>
        <v>12.32</v>
      </c>
      <c r="I16" s="6">
        <v>0.32</v>
      </c>
      <c r="J16" s="5">
        <f>G16+H16</f>
        <v>50.82</v>
      </c>
      <c r="K16" s="31">
        <f>J16*F16</f>
        <v>6860.7</v>
      </c>
    </row>
    <row r="17" spans="2:11" ht="18" customHeight="1" x14ac:dyDescent="0.25">
      <c r="B17" s="46"/>
      <c r="C17" s="42"/>
      <c r="D17" s="11" t="s">
        <v>5</v>
      </c>
      <c r="E17" s="11" t="s">
        <v>28</v>
      </c>
      <c r="F17" s="3">
        <f>10*2.7</f>
        <v>27</v>
      </c>
      <c r="G17" s="5">
        <f>40*1.1</f>
        <v>44</v>
      </c>
      <c r="H17" s="5">
        <f t="shared" ref="H17:H50" si="4">G17*I17</f>
        <v>14.08</v>
      </c>
      <c r="I17" s="6">
        <v>0.32</v>
      </c>
      <c r="J17" s="5">
        <f t="shared" ref="J17:J50" si="5">G17+H17</f>
        <v>58.08</v>
      </c>
      <c r="K17" s="31">
        <f t="shared" ref="K17:K50" si="6">J17*F17</f>
        <v>1568.1599999999999</v>
      </c>
    </row>
    <row r="18" spans="2:11" ht="18" customHeight="1" x14ac:dyDescent="0.25">
      <c r="B18" s="46"/>
      <c r="C18" s="42"/>
      <c r="D18" s="11" t="s">
        <v>10</v>
      </c>
      <c r="E18" s="11" t="s">
        <v>28</v>
      </c>
      <c r="F18" s="3">
        <f>25*2.7</f>
        <v>67.5</v>
      </c>
      <c r="G18" s="5">
        <f>40*1.1</f>
        <v>44</v>
      </c>
      <c r="H18" s="5">
        <f t="shared" si="4"/>
        <v>14.08</v>
      </c>
      <c r="I18" s="6">
        <v>0.32</v>
      </c>
      <c r="J18" s="5">
        <f t="shared" si="5"/>
        <v>58.08</v>
      </c>
      <c r="K18" s="31">
        <f t="shared" si="6"/>
        <v>3920.4</v>
      </c>
    </row>
    <row r="19" spans="2:11" ht="18" customHeight="1" x14ac:dyDescent="0.25">
      <c r="B19" s="46"/>
      <c r="C19" s="42"/>
      <c r="D19" s="11" t="s">
        <v>6</v>
      </c>
      <c r="E19" s="11" t="s">
        <v>28</v>
      </c>
      <c r="F19" s="3">
        <f>25*2.7</f>
        <v>67.5</v>
      </c>
      <c r="G19" s="5">
        <f t="shared" ref="G19:G20" si="7">40*1.1</f>
        <v>44</v>
      </c>
      <c r="H19" s="5">
        <f t="shared" si="4"/>
        <v>14.08</v>
      </c>
      <c r="I19" s="6">
        <v>0.32</v>
      </c>
      <c r="J19" s="5">
        <f t="shared" si="5"/>
        <v>58.08</v>
      </c>
      <c r="K19" s="31">
        <f t="shared" si="6"/>
        <v>3920.4</v>
      </c>
    </row>
    <row r="20" spans="2:11" ht="18" customHeight="1" x14ac:dyDescent="0.25">
      <c r="B20" s="46"/>
      <c r="C20" s="42"/>
      <c r="D20" s="11" t="s">
        <v>11</v>
      </c>
      <c r="E20" s="11" t="s">
        <v>28</v>
      </c>
      <c r="F20" s="3">
        <f>50*2.7</f>
        <v>135</v>
      </c>
      <c r="G20" s="5">
        <f t="shared" si="7"/>
        <v>44</v>
      </c>
      <c r="H20" s="5">
        <f t="shared" si="4"/>
        <v>14.08</v>
      </c>
      <c r="I20" s="6">
        <v>0.32</v>
      </c>
      <c r="J20" s="5">
        <f t="shared" si="5"/>
        <v>58.08</v>
      </c>
      <c r="K20" s="31">
        <f t="shared" si="6"/>
        <v>7840.8</v>
      </c>
    </row>
    <row r="21" spans="2:11" ht="18" customHeight="1" x14ac:dyDescent="0.25">
      <c r="B21" s="46"/>
      <c r="C21" s="42"/>
      <c r="D21" s="11" t="s">
        <v>7</v>
      </c>
      <c r="E21" s="11" t="s">
        <v>28</v>
      </c>
      <c r="F21" s="3">
        <f>50*2.7</f>
        <v>135</v>
      </c>
      <c r="G21" s="5">
        <f>60*1.1</f>
        <v>66</v>
      </c>
      <c r="H21" s="5">
        <f t="shared" si="4"/>
        <v>21.12</v>
      </c>
      <c r="I21" s="6">
        <v>0.32</v>
      </c>
      <c r="J21" s="5">
        <f t="shared" si="5"/>
        <v>87.12</v>
      </c>
      <c r="K21" s="31">
        <f t="shared" si="6"/>
        <v>11761.2</v>
      </c>
    </row>
    <row r="22" spans="2:11" ht="18" customHeight="1" x14ac:dyDescent="0.25">
      <c r="B22" s="46"/>
      <c r="C22" s="42"/>
      <c r="D22" s="11" t="s">
        <v>8</v>
      </c>
      <c r="E22" s="11" t="s">
        <v>28</v>
      </c>
      <c r="F22" s="3">
        <f>10*2.7</f>
        <v>27</v>
      </c>
      <c r="G22" s="5">
        <f>70*1.1</f>
        <v>77</v>
      </c>
      <c r="H22" s="5">
        <f t="shared" si="4"/>
        <v>24.64</v>
      </c>
      <c r="I22" s="6">
        <v>0.32</v>
      </c>
      <c r="J22" s="5">
        <f t="shared" si="5"/>
        <v>101.64</v>
      </c>
      <c r="K22" s="31">
        <f t="shared" si="6"/>
        <v>2744.28</v>
      </c>
    </row>
    <row r="23" spans="2:11" ht="18" customHeight="1" x14ac:dyDescent="0.25">
      <c r="B23" s="46"/>
      <c r="C23" s="42"/>
      <c r="D23" s="11" t="s">
        <v>12</v>
      </c>
      <c r="E23" s="11" t="s">
        <v>28</v>
      </c>
      <c r="F23" s="3">
        <f>25*2.7</f>
        <v>67.5</v>
      </c>
      <c r="G23" s="5">
        <f t="shared" ref="G23:G25" si="8">70*1.1</f>
        <v>77</v>
      </c>
      <c r="H23" s="5">
        <f t="shared" si="4"/>
        <v>24.64</v>
      </c>
      <c r="I23" s="6">
        <v>0.32</v>
      </c>
      <c r="J23" s="5">
        <f t="shared" si="5"/>
        <v>101.64</v>
      </c>
      <c r="K23" s="31">
        <f t="shared" si="6"/>
        <v>6860.7</v>
      </c>
    </row>
    <row r="24" spans="2:11" ht="18" customHeight="1" x14ac:dyDescent="0.25">
      <c r="B24" s="46"/>
      <c r="C24" s="42"/>
      <c r="D24" s="11" t="s">
        <v>9</v>
      </c>
      <c r="E24" s="11" t="s">
        <v>28</v>
      </c>
      <c r="F24" s="3">
        <f>25*2.7</f>
        <v>67.5</v>
      </c>
      <c r="G24" s="5">
        <f t="shared" si="8"/>
        <v>77</v>
      </c>
      <c r="H24" s="5">
        <f t="shared" si="4"/>
        <v>24.64</v>
      </c>
      <c r="I24" s="6">
        <v>0.32</v>
      </c>
      <c r="J24" s="5">
        <f t="shared" si="5"/>
        <v>101.64</v>
      </c>
      <c r="K24" s="31">
        <f t="shared" si="6"/>
        <v>6860.7</v>
      </c>
    </row>
    <row r="25" spans="2:11" ht="18" customHeight="1" x14ac:dyDescent="0.25">
      <c r="B25" s="46"/>
      <c r="C25" s="42"/>
      <c r="D25" s="11" t="s">
        <v>13</v>
      </c>
      <c r="E25" s="11" t="s">
        <v>28</v>
      </c>
      <c r="F25" s="3">
        <v>9</v>
      </c>
      <c r="G25" s="5">
        <f t="shared" si="8"/>
        <v>77</v>
      </c>
      <c r="H25" s="5">
        <f t="shared" si="4"/>
        <v>24.64</v>
      </c>
      <c r="I25" s="6">
        <v>0.32</v>
      </c>
      <c r="J25" s="5">
        <f t="shared" si="5"/>
        <v>101.64</v>
      </c>
      <c r="K25" s="31">
        <f t="shared" si="6"/>
        <v>914.76</v>
      </c>
    </row>
    <row r="26" spans="2:11" ht="18" customHeight="1" x14ac:dyDescent="0.25">
      <c r="B26" s="46"/>
      <c r="C26" s="42"/>
      <c r="D26" s="11" t="s">
        <v>47</v>
      </c>
      <c r="E26" s="11" t="s">
        <v>28</v>
      </c>
      <c r="F26" s="3">
        <f>50*2.7</f>
        <v>135</v>
      </c>
      <c r="G26" s="5">
        <f>60*1.1</f>
        <v>66</v>
      </c>
      <c r="H26" s="5">
        <f t="shared" si="4"/>
        <v>21.12</v>
      </c>
      <c r="I26" s="6">
        <v>0.32</v>
      </c>
      <c r="J26" s="5">
        <f t="shared" si="5"/>
        <v>87.12</v>
      </c>
      <c r="K26" s="31">
        <f t="shared" si="6"/>
        <v>11761.2</v>
      </c>
    </row>
    <row r="27" spans="2:11" ht="18" customHeight="1" x14ac:dyDescent="0.25">
      <c r="B27" s="46"/>
      <c r="C27" s="42"/>
      <c r="D27" s="11" t="s">
        <v>48</v>
      </c>
      <c r="E27" s="11" t="s">
        <v>28</v>
      </c>
      <c r="F27" s="3">
        <f>50*2.7</f>
        <v>135</v>
      </c>
      <c r="G27" s="5">
        <f>25*1.1</f>
        <v>27.500000000000004</v>
      </c>
      <c r="H27" s="5">
        <f t="shared" si="4"/>
        <v>8.8000000000000007</v>
      </c>
      <c r="I27" s="6">
        <v>0.32</v>
      </c>
      <c r="J27" s="5">
        <f t="shared" si="5"/>
        <v>36.300000000000004</v>
      </c>
      <c r="K27" s="31">
        <f t="shared" si="6"/>
        <v>4900.5000000000009</v>
      </c>
    </row>
    <row r="28" spans="2:11" ht="18" customHeight="1" x14ac:dyDescent="0.25">
      <c r="B28" s="46"/>
      <c r="C28" s="42" t="s">
        <v>62</v>
      </c>
      <c r="D28" s="11" t="s">
        <v>14</v>
      </c>
      <c r="E28" s="11" t="s">
        <v>34</v>
      </c>
      <c r="F28" s="3">
        <v>21</v>
      </c>
      <c r="G28" s="5">
        <f>60*1.1</f>
        <v>66</v>
      </c>
      <c r="H28" s="5">
        <f t="shared" si="4"/>
        <v>21.12</v>
      </c>
      <c r="I28" s="6">
        <v>0.32</v>
      </c>
      <c r="J28" s="5">
        <f t="shared" si="5"/>
        <v>87.12</v>
      </c>
      <c r="K28" s="31">
        <f t="shared" si="6"/>
        <v>1829.52</v>
      </c>
    </row>
    <row r="29" spans="2:11" ht="18" customHeight="1" x14ac:dyDescent="0.25">
      <c r="B29" s="46"/>
      <c r="C29" s="42"/>
      <c r="D29" s="11" t="s">
        <v>15</v>
      </c>
      <c r="E29" s="11" t="s">
        <v>34</v>
      </c>
      <c r="F29" s="3">
        <v>21</v>
      </c>
      <c r="G29" s="5">
        <f>30*1.1</f>
        <v>33</v>
      </c>
      <c r="H29" s="5">
        <f t="shared" si="4"/>
        <v>10.56</v>
      </c>
      <c r="I29" s="6">
        <v>0.32</v>
      </c>
      <c r="J29" s="5">
        <f t="shared" si="5"/>
        <v>43.56</v>
      </c>
      <c r="K29" s="31">
        <f t="shared" si="6"/>
        <v>914.76</v>
      </c>
    </row>
    <row r="30" spans="2:11" ht="18" customHeight="1" x14ac:dyDescent="0.25">
      <c r="B30" s="46"/>
      <c r="C30" s="42" t="s">
        <v>35</v>
      </c>
      <c r="D30" s="11" t="s">
        <v>58</v>
      </c>
      <c r="E30" s="11" t="s">
        <v>34</v>
      </c>
      <c r="F30" s="3">
        <v>10</v>
      </c>
      <c r="G30" s="5">
        <f>50*1.1</f>
        <v>55.000000000000007</v>
      </c>
      <c r="H30" s="5">
        <f t="shared" si="4"/>
        <v>17.600000000000001</v>
      </c>
      <c r="I30" s="6">
        <v>0.32</v>
      </c>
      <c r="J30" s="5">
        <f t="shared" si="5"/>
        <v>72.600000000000009</v>
      </c>
      <c r="K30" s="31">
        <f t="shared" si="6"/>
        <v>726.00000000000011</v>
      </c>
    </row>
    <row r="31" spans="2:11" ht="18" customHeight="1" x14ac:dyDescent="0.25">
      <c r="B31" s="46"/>
      <c r="C31" s="42"/>
      <c r="D31" s="11" t="s">
        <v>16</v>
      </c>
      <c r="E31" s="11" t="s">
        <v>34</v>
      </c>
      <c r="F31" s="3">
        <v>6</v>
      </c>
      <c r="G31" s="5">
        <f>100*1.1</f>
        <v>110.00000000000001</v>
      </c>
      <c r="H31" s="5">
        <f t="shared" si="4"/>
        <v>35.200000000000003</v>
      </c>
      <c r="I31" s="6">
        <v>0.32</v>
      </c>
      <c r="J31" s="5">
        <f t="shared" si="5"/>
        <v>145.20000000000002</v>
      </c>
      <c r="K31" s="31">
        <f t="shared" si="6"/>
        <v>871.2</v>
      </c>
    </row>
    <row r="32" spans="2:11" ht="18" customHeight="1" x14ac:dyDescent="0.25">
      <c r="B32" s="46"/>
      <c r="C32" s="42"/>
      <c r="D32" s="11" t="s">
        <v>17</v>
      </c>
      <c r="E32" s="11" t="s">
        <v>34</v>
      </c>
      <c r="F32" s="3">
        <v>12</v>
      </c>
      <c r="G32" s="5">
        <f>12*1.1</f>
        <v>13.200000000000001</v>
      </c>
      <c r="H32" s="5">
        <f t="shared" si="4"/>
        <v>4.2240000000000002</v>
      </c>
      <c r="I32" s="6">
        <v>0.32</v>
      </c>
      <c r="J32" s="5">
        <f t="shared" si="5"/>
        <v>17.423999999999999</v>
      </c>
      <c r="K32" s="31">
        <f t="shared" si="6"/>
        <v>209.08799999999999</v>
      </c>
    </row>
    <row r="33" spans="2:11" ht="18" customHeight="1" x14ac:dyDescent="0.25">
      <c r="B33" s="46"/>
      <c r="C33" s="42"/>
      <c r="D33" s="11" t="s">
        <v>53</v>
      </c>
      <c r="E33" s="11" t="s">
        <v>34</v>
      </c>
      <c r="F33" s="3">
        <v>6</v>
      </c>
      <c r="G33" s="5">
        <f>100*1.1</f>
        <v>110.00000000000001</v>
      </c>
      <c r="H33" s="5">
        <f t="shared" si="4"/>
        <v>35.200000000000003</v>
      </c>
      <c r="I33" s="6">
        <v>0.32</v>
      </c>
      <c r="J33" s="5">
        <f t="shared" si="5"/>
        <v>145.20000000000002</v>
      </c>
      <c r="K33" s="31">
        <f t="shared" si="6"/>
        <v>871.2</v>
      </c>
    </row>
    <row r="34" spans="2:11" ht="18" customHeight="1" x14ac:dyDescent="0.25">
      <c r="B34" s="46"/>
      <c r="C34" s="42"/>
      <c r="D34" s="3" t="s">
        <v>59</v>
      </c>
      <c r="E34" s="11" t="s">
        <v>34</v>
      </c>
      <c r="F34" s="3">
        <v>6</v>
      </c>
      <c r="G34" s="5">
        <f>70*1.1</f>
        <v>77</v>
      </c>
      <c r="H34" s="5">
        <f t="shared" si="4"/>
        <v>24.64</v>
      </c>
      <c r="I34" s="6">
        <v>0.32</v>
      </c>
      <c r="J34" s="5">
        <f t="shared" si="5"/>
        <v>101.64</v>
      </c>
      <c r="K34" s="31">
        <f t="shared" si="6"/>
        <v>609.84</v>
      </c>
    </row>
    <row r="35" spans="2:11" ht="18" customHeight="1" x14ac:dyDescent="0.25">
      <c r="B35" s="46"/>
      <c r="C35" s="42"/>
      <c r="D35" s="3" t="s">
        <v>60</v>
      </c>
      <c r="E35" s="11" t="s">
        <v>34</v>
      </c>
      <c r="F35" s="3">
        <v>6</v>
      </c>
      <c r="G35" s="5">
        <f t="shared" ref="G35" si="9">70*1.1</f>
        <v>77</v>
      </c>
      <c r="H35" s="5">
        <f t="shared" si="4"/>
        <v>24.64</v>
      </c>
      <c r="I35" s="6">
        <v>0.32</v>
      </c>
      <c r="J35" s="5">
        <f t="shared" si="5"/>
        <v>101.64</v>
      </c>
      <c r="K35" s="31">
        <f t="shared" si="6"/>
        <v>609.84</v>
      </c>
    </row>
    <row r="36" spans="2:11" ht="18" customHeight="1" x14ac:dyDescent="0.25">
      <c r="B36" s="46"/>
      <c r="C36" s="42" t="s">
        <v>71</v>
      </c>
      <c r="D36" s="11" t="s">
        <v>21</v>
      </c>
      <c r="E36" s="11" t="s">
        <v>28</v>
      </c>
      <c r="F36" s="3">
        <v>180</v>
      </c>
      <c r="G36" s="5">
        <f>14*1.1</f>
        <v>15.400000000000002</v>
      </c>
      <c r="H36" s="5">
        <f t="shared" si="4"/>
        <v>4.9280000000000008</v>
      </c>
      <c r="I36" s="6">
        <v>0.32</v>
      </c>
      <c r="J36" s="5">
        <f t="shared" si="5"/>
        <v>20.328000000000003</v>
      </c>
      <c r="K36" s="31">
        <f t="shared" si="6"/>
        <v>3659.0400000000004</v>
      </c>
    </row>
    <row r="37" spans="2:11" ht="18" customHeight="1" x14ac:dyDescent="0.25">
      <c r="B37" s="46"/>
      <c r="C37" s="42"/>
      <c r="D37" s="11" t="s">
        <v>22</v>
      </c>
      <c r="E37" s="11" t="s">
        <v>28</v>
      </c>
      <c r="F37" s="3">
        <v>18</v>
      </c>
      <c r="G37" s="5">
        <f>13*1.1</f>
        <v>14.3</v>
      </c>
      <c r="H37" s="5">
        <f t="shared" si="4"/>
        <v>4.5760000000000005</v>
      </c>
      <c r="I37" s="6">
        <v>0.32</v>
      </c>
      <c r="J37" s="5">
        <f t="shared" si="5"/>
        <v>18.876000000000001</v>
      </c>
      <c r="K37" s="31">
        <f t="shared" si="6"/>
        <v>339.76800000000003</v>
      </c>
    </row>
    <row r="38" spans="2:11" ht="18" customHeight="1" x14ac:dyDescent="0.25">
      <c r="B38" s="46"/>
      <c r="C38" s="42"/>
      <c r="D38" s="11" t="s">
        <v>23</v>
      </c>
      <c r="E38" s="11" t="s">
        <v>28</v>
      </c>
      <c r="F38" s="3">
        <v>180</v>
      </c>
      <c r="G38" s="5">
        <f t="shared" ref="G38" si="10">13*1.1</f>
        <v>14.3</v>
      </c>
      <c r="H38" s="5">
        <f t="shared" si="4"/>
        <v>4.5760000000000005</v>
      </c>
      <c r="I38" s="6">
        <v>0.32</v>
      </c>
      <c r="J38" s="5">
        <f t="shared" si="5"/>
        <v>18.876000000000001</v>
      </c>
      <c r="K38" s="31">
        <f t="shared" si="6"/>
        <v>3397.6800000000003</v>
      </c>
    </row>
    <row r="39" spans="2:11" ht="18" customHeight="1" x14ac:dyDescent="0.25">
      <c r="B39" s="46"/>
      <c r="C39" s="42"/>
      <c r="D39" s="11" t="s">
        <v>24</v>
      </c>
      <c r="E39" s="11" t="s">
        <v>28</v>
      </c>
      <c r="F39" s="3">
        <v>18</v>
      </c>
      <c r="G39" s="5">
        <f>12*1.1</f>
        <v>13.200000000000001</v>
      </c>
      <c r="H39" s="5">
        <f t="shared" si="4"/>
        <v>4.2240000000000002</v>
      </c>
      <c r="I39" s="6">
        <v>0.32</v>
      </c>
      <c r="J39" s="5">
        <f t="shared" si="5"/>
        <v>17.423999999999999</v>
      </c>
      <c r="K39" s="31">
        <f t="shared" si="6"/>
        <v>313.63200000000001</v>
      </c>
    </row>
    <row r="40" spans="2:11" ht="18" customHeight="1" x14ac:dyDescent="0.25">
      <c r="B40" s="46"/>
      <c r="C40" s="42"/>
      <c r="D40" s="11" t="s">
        <v>25</v>
      </c>
      <c r="E40" s="11" t="s">
        <v>28</v>
      </c>
      <c r="F40" s="3">
        <v>18</v>
      </c>
      <c r="G40" s="5">
        <f>6*1.1</f>
        <v>6.6000000000000005</v>
      </c>
      <c r="H40" s="5">
        <f t="shared" si="4"/>
        <v>2.1120000000000001</v>
      </c>
      <c r="I40" s="6">
        <v>0.32</v>
      </c>
      <c r="J40" s="5">
        <f t="shared" si="5"/>
        <v>8.7119999999999997</v>
      </c>
      <c r="K40" s="31">
        <f t="shared" si="6"/>
        <v>156.816</v>
      </c>
    </row>
    <row r="41" spans="2:11" ht="18" customHeight="1" x14ac:dyDescent="0.25">
      <c r="B41" s="46"/>
      <c r="C41" s="42"/>
      <c r="D41" s="11" t="s">
        <v>26</v>
      </c>
      <c r="E41" s="11" t="s">
        <v>28</v>
      </c>
      <c r="F41" s="3">
        <v>18</v>
      </c>
      <c r="G41" s="5">
        <f>7.5*1.1</f>
        <v>8.25</v>
      </c>
      <c r="H41" s="5">
        <f t="shared" si="4"/>
        <v>2.64</v>
      </c>
      <c r="I41" s="6">
        <v>0.32</v>
      </c>
      <c r="J41" s="5">
        <f t="shared" si="5"/>
        <v>10.89</v>
      </c>
      <c r="K41" s="31">
        <f t="shared" si="6"/>
        <v>196.02</v>
      </c>
    </row>
    <row r="42" spans="2:11" ht="18" customHeight="1" x14ac:dyDescent="0.25">
      <c r="B42" s="46"/>
      <c r="C42" s="42"/>
      <c r="D42" s="11" t="s">
        <v>27</v>
      </c>
      <c r="E42" s="11" t="s">
        <v>28</v>
      </c>
      <c r="F42" s="3">
        <v>180</v>
      </c>
      <c r="G42" s="5">
        <f>6*1.1</f>
        <v>6.6000000000000005</v>
      </c>
      <c r="H42" s="5">
        <f t="shared" si="4"/>
        <v>2.1120000000000001</v>
      </c>
      <c r="I42" s="6">
        <v>0.32</v>
      </c>
      <c r="J42" s="5">
        <f t="shared" si="5"/>
        <v>8.7119999999999997</v>
      </c>
      <c r="K42" s="31">
        <f t="shared" si="6"/>
        <v>1568.1599999999999</v>
      </c>
    </row>
    <row r="43" spans="2:11" ht="18" customHeight="1" x14ac:dyDescent="0.25">
      <c r="B43" s="46"/>
      <c r="C43" s="42"/>
      <c r="D43" s="11" t="s">
        <v>18</v>
      </c>
      <c r="E43" s="11" t="s">
        <v>28</v>
      </c>
      <c r="F43" s="3">
        <v>75</v>
      </c>
      <c r="G43" s="5">
        <f>70*1.1</f>
        <v>77</v>
      </c>
      <c r="H43" s="5">
        <f t="shared" si="4"/>
        <v>24.64</v>
      </c>
      <c r="I43" s="6">
        <v>0.32</v>
      </c>
      <c r="J43" s="5">
        <f t="shared" si="5"/>
        <v>101.64</v>
      </c>
      <c r="K43" s="31">
        <f t="shared" si="6"/>
        <v>7623</v>
      </c>
    </row>
    <row r="44" spans="2:11" ht="18" customHeight="1" x14ac:dyDescent="0.25">
      <c r="B44" s="46"/>
      <c r="C44" s="42"/>
      <c r="D44" s="11" t="s">
        <v>19</v>
      </c>
      <c r="E44" s="11" t="s">
        <v>28</v>
      </c>
      <c r="F44" s="3">
        <v>75</v>
      </c>
      <c r="G44" s="5">
        <f>70*1.1</f>
        <v>77</v>
      </c>
      <c r="H44" s="5">
        <f t="shared" si="4"/>
        <v>24.64</v>
      </c>
      <c r="I44" s="6">
        <v>0.32</v>
      </c>
      <c r="J44" s="5">
        <f t="shared" si="5"/>
        <v>101.64</v>
      </c>
      <c r="K44" s="31">
        <f t="shared" si="6"/>
        <v>7623</v>
      </c>
    </row>
    <row r="45" spans="2:11" ht="18" customHeight="1" x14ac:dyDescent="0.25">
      <c r="B45" s="46"/>
      <c r="C45" s="42"/>
      <c r="D45" s="11" t="s">
        <v>20</v>
      </c>
      <c r="E45" s="11" t="s">
        <v>28</v>
      </c>
      <c r="F45" s="3">
        <v>150</v>
      </c>
      <c r="G45" s="5">
        <f>15*1.1</f>
        <v>16.5</v>
      </c>
      <c r="H45" s="5">
        <f t="shared" si="4"/>
        <v>5.28</v>
      </c>
      <c r="I45" s="6">
        <v>0.32</v>
      </c>
      <c r="J45" s="5">
        <f t="shared" si="5"/>
        <v>21.78</v>
      </c>
      <c r="K45" s="31">
        <f t="shared" si="6"/>
        <v>3267</v>
      </c>
    </row>
    <row r="46" spans="2:11" ht="18" customHeight="1" x14ac:dyDescent="0.25">
      <c r="B46" s="46"/>
      <c r="C46" s="42"/>
      <c r="D46" s="11" t="s">
        <v>49</v>
      </c>
      <c r="E46" s="11" t="s">
        <v>34</v>
      </c>
      <c r="F46" s="3">
        <v>10</v>
      </c>
      <c r="G46" s="5">
        <f>450*1.1</f>
        <v>495.00000000000006</v>
      </c>
      <c r="H46" s="5">
        <f t="shared" si="4"/>
        <v>158.40000000000003</v>
      </c>
      <c r="I46" s="6">
        <v>0.32</v>
      </c>
      <c r="J46" s="5">
        <f t="shared" si="5"/>
        <v>653.40000000000009</v>
      </c>
      <c r="K46" s="31">
        <f t="shared" si="6"/>
        <v>6534.0000000000009</v>
      </c>
    </row>
    <row r="47" spans="2:11" ht="18" customHeight="1" x14ac:dyDescent="0.25">
      <c r="B47" s="46"/>
      <c r="C47" s="3" t="s">
        <v>44</v>
      </c>
      <c r="D47" s="3" t="s">
        <v>61</v>
      </c>
      <c r="E47" s="3" t="s">
        <v>28</v>
      </c>
      <c r="F47" s="3">
        <f>3604.56*4</f>
        <v>14418.24</v>
      </c>
      <c r="G47" s="5">
        <v>0.3</v>
      </c>
      <c r="H47" s="5">
        <f t="shared" si="4"/>
        <v>9.6000000000000002E-2</v>
      </c>
      <c r="I47" s="6">
        <v>0.32</v>
      </c>
      <c r="J47" s="5">
        <f t="shared" si="5"/>
        <v>0.39600000000000002</v>
      </c>
      <c r="K47" s="31">
        <f t="shared" si="6"/>
        <v>5709.6230400000004</v>
      </c>
    </row>
    <row r="48" spans="2:11" ht="18" customHeight="1" x14ac:dyDescent="0.25">
      <c r="B48" s="46"/>
      <c r="C48" s="3" t="s">
        <v>63</v>
      </c>
      <c r="D48" s="3" t="s">
        <v>57</v>
      </c>
      <c r="E48" s="3" t="s">
        <v>56</v>
      </c>
      <c r="F48" s="3">
        <v>24</v>
      </c>
      <c r="G48" s="5">
        <f>7367/22</f>
        <v>334.86363636363637</v>
      </c>
      <c r="H48" s="5">
        <f t="shared" si="4"/>
        <v>107.15636363636364</v>
      </c>
      <c r="I48" s="6">
        <v>0.32</v>
      </c>
      <c r="J48" s="5">
        <f t="shared" si="5"/>
        <v>442.02</v>
      </c>
      <c r="K48" s="31">
        <f t="shared" si="6"/>
        <v>10608.48</v>
      </c>
    </row>
    <row r="49" spans="2:11" ht="18" customHeight="1" x14ac:dyDescent="0.25">
      <c r="B49" s="46"/>
      <c r="C49" s="3" t="s">
        <v>54</v>
      </c>
      <c r="D49" s="3" t="s">
        <v>55</v>
      </c>
      <c r="E49" s="3" t="s">
        <v>56</v>
      </c>
      <c r="F49" s="3">
        <v>52</v>
      </c>
      <c r="G49" s="5">
        <f>4564/22</f>
        <v>207.45454545454547</v>
      </c>
      <c r="H49" s="5">
        <f t="shared" si="4"/>
        <v>66.38545454545455</v>
      </c>
      <c r="I49" s="6">
        <v>0.32</v>
      </c>
      <c r="J49" s="5">
        <f t="shared" si="5"/>
        <v>273.84000000000003</v>
      </c>
      <c r="K49" s="31">
        <f t="shared" si="6"/>
        <v>14239.680000000002</v>
      </c>
    </row>
    <row r="50" spans="2:11" ht="18" customHeight="1" x14ac:dyDescent="0.25">
      <c r="B50" s="46"/>
      <c r="C50" s="3" t="s">
        <v>73</v>
      </c>
      <c r="D50" s="3" t="s">
        <v>82</v>
      </c>
      <c r="E50" s="11" t="s">
        <v>34</v>
      </c>
      <c r="F50" s="12">
        <v>1</v>
      </c>
      <c r="G50" s="5">
        <f>10490/22</f>
        <v>476.81818181818181</v>
      </c>
      <c r="H50" s="5">
        <f t="shared" si="4"/>
        <v>152.58181818181819</v>
      </c>
      <c r="I50" s="6">
        <v>0.32</v>
      </c>
      <c r="J50" s="5">
        <f t="shared" si="5"/>
        <v>629.4</v>
      </c>
      <c r="K50" s="31">
        <f t="shared" si="6"/>
        <v>629.4</v>
      </c>
    </row>
    <row r="51" spans="2:11" ht="15.75" x14ac:dyDescent="0.25">
      <c r="B51" s="43" t="s">
        <v>78</v>
      </c>
      <c r="C51" s="44"/>
      <c r="D51" s="44"/>
      <c r="E51" s="44"/>
      <c r="F51" s="44"/>
      <c r="G51" s="44"/>
      <c r="H51" s="44"/>
      <c r="I51" s="44"/>
      <c r="J51" s="44"/>
      <c r="K51" s="22">
        <f>SUM(K16:K50)</f>
        <v>142420.54703999998</v>
      </c>
    </row>
    <row r="52" spans="2:11" ht="31.5" x14ac:dyDescent="0.25">
      <c r="B52" s="25" t="s">
        <v>86</v>
      </c>
      <c r="C52" s="16" t="s">
        <v>39</v>
      </c>
      <c r="D52" s="17" t="s">
        <v>69</v>
      </c>
      <c r="E52" s="16" t="s">
        <v>68</v>
      </c>
      <c r="F52" s="16">
        <v>12</v>
      </c>
      <c r="G52" s="18">
        <v>20000</v>
      </c>
      <c r="H52" s="18">
        <f>G52*I52</f>
        <v>6400</v>
      </c>
      <c r="I52" s="19">
        <v>0.32</v>
      </c>
      <c r="J52" s="18">
        <f>H52+G52</f>
        <v>26400</v>
      </c>
      <c r="K52" s="26">
        <f>J52*F52</f>
        <v>316800</v>
      </c>
    </row>
    <row r="53" spans="2:11" ht="15.75" x14ac:dyDescent="0.25">
      <c r="B53" s="43" t="s">
        <v>75</v>
      </c>
      <c r="C53" s="44"/>
      <c r="D53" s="44"/>
      <c r="E53" s="44"/>
      <c r="F53" s="44"/>
      <c r="G53" s="44"/>
      <c r="H53" s="44"/>
      <c r="I53" s="44"/>
      <c r="J53" s="44"/>
      <c r="K53" s="22">
        <f>K52</f>
        <v>316800</v>
      </c>
    </row>
    <row r="54" spans="2:11" ht="16.5" thickBot="1" x14ac:dyDescent="0.3">
      <c r="B54" s="40" t="s">
        <v>83</v>
      </c>
      <c r="C54" s="41"/>
      <c r="D54" s="41"/>
      <c r="E54" s="41"/>
      <c r="F54" s="41"/>
      <c r="G54" s="41"/>
      <c r="H54" s="41"/>
      <c r="I54" s="41"/>
      <c r="J54" s="41"/>
      <c r="K54" s="27">
        <f>K53+K51+K15</f>
        <v>748846.71023999993</v>
      </c>
    </row>
    <row r="56" spans="2:11" x14ac:dyDescent="0.25">
      <c r="B56" s="4"/>
    </row>
  </sheetData>
  <mergeCells count="15">
    <mergeCell ref="B1:K1"/>
    <mergeCell ref="B3:B13"/>
    <mergeCell ref="C3:C4"/>
    <mergeCell ref="C5:C9"/>
    <mergeCell ref="C11:C12"/>
    <mergeCell ref="B53:J53"/>
    <mergeCell ref="B54:J54"/>
    <mergeCell ref="B51:J51"/>
    <mergeCell ref="B14:J14"/>
    <mergeCell ref="B15:J15"/>
    <mergeCell ref="B16:B50"/>
    <mergeCell ref="C16:C27"/>
    <mergeCell ref="C28:C29"/>
    <mergeCell ref="C30:C35"/>
    <mergeCell ref="C36:C46"/>
  </mergeCells>
  <pageMargins left="0.511811024" right="0.511811024" top="0.78740157499999996" bottom="0.78740157499999996" header="0.31496062000000002" footer="0.31496062000000002"/>
  <pageSetup paperSize="9" scale="40" orientation="landscape" verticalDpi="0" r:id="rId1"/>
  <ignoredErrors>
    <ignoredError sqref="K51 G41 G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Simplificada</vt:lpstr>
      <vt:lpstr>PLANILHA DETALHADA LICITAÇÃO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Diogo Campos Borges de Medeiros</dc:creator>
  <cp:lastModifiedBy>Júlia Mendes Alburquerque Peixoto</cp:lastModifiedBy>
  <cp:lastPrinted>2022-02-17T13:34:29Z</cp:lastPrinted>
  <dcterms:created xsi:type="dcterms:W3CDTF">2019-10-28T18:40:49Z</dcterms:created>
  <dcterms:modified xsi:type="dcterms:W3CDTF">2022-05-12T22:05:21Z</dcterms:modified>
</cp:coreProperties>
</file>